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3"/>
  <workbookPr filterPrivacy="1" codeName="ThisWorkbook"/>
  <xr:revisionPtr revIDLastSave="0" documentId="13_ncr:1_{6B61C636-0D71-DB4B-8B52-5AD53C1C790C}" xr6:coauthVersionLast="45" xr6:coauthVersionMax="45" xr10:uidLastSave="{00000000-0000-0000-0000-000000000000}"/>
  <bookViews>
    <workbookView xWindow="0" yWindow="0" windowWidth="28800" windowHeight="18000" activeTab="1" xr2:uid="{00000000-000D-0000-FFFF-FFFF00000000}"/>
  </bookViews>
  <sheets>
    <sheet name="DV-IDENTITY-0" sheetId="5" state="veryHidden" r:id="rId1"/>
    <sheet name="12月時間割" sheetId="7" r:id="rId2"/>
    <sheet name="Sheet1" sheetId="8" r:id="rId3"/>
  </sheets>
  <definedNames>
    <definedName name="_xlnm.Print_Area" localSheetId="1">'12月時間割'!$B$1:$M$67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5" l="1"/>
  <c r="B2" i="5"/>
  <c r="C2" i="5"/>
  <c r="D2" i="5"/>
  <c r="E2" i="5"/>
  <c r="F2" i="5"/>
  <c r="G2" i="5"/>
  <c r="H2" i="5"/>
  <c r="I2" i="5"/>
  <c r="J2" i="5"/>
  <c r="K2" i="5"/>
  <c r="L2" i="5"/>
  <c r="M2" i="5"/>
  <c r="N2" i="5"/>
  <c r="O2" i="5"/>
  <c r="P2" i="5"/>
  <c r="Q2" i="5"/>
  <c r="R2" i="5"/>
  <c r="S2" i="5"/>
  <c r="T2" i="5"/>
  <c r="U2" i="5"/>
  <c r="V2" i="5"/>
  <c r="W2" i="5"/>
  <c r="X2" i="5"/>
  <c r="Y2" i="5"/>
  <c r="Z2" i="5"/>
  <c r="AA2" i="5"/>
  <c r="AB2" i="5"/>
  <c r="AC2" i="5"/>
  <c r="AD2" i="5"/>
  <c r="AE2" i="5"/>
  <c r="AF2" i="5"/>
  <c r="AG2" i="5"/>
  <c r="AH2" i="5"/>
  <c r="AI2" i="5"/>
  <c r="AJ2" i="5"/>
  <c r="AK2" i="5"/>
  <c r="AL2" i="5"/>
  <c r="AM2" i="5"/>
  <c r="AN2" i="5"/>
  <c r="AO2" i="5"/>
  <c r="AP2" i="5"/>
  <c r="AQ2" i="5"/>
  <c r="AR2" i="5"/>
  <c r="AS2" i="5"/>
  <c r="AT2" i="5"/>
  <c r="AU2" i="5"/>
  <c r="AV2" i="5"/>
  <c r="AW2" i="5"/>
  <c r="AX2" i="5"/>
  <c r="AY2" i="5"/>
  <c r="AZ2" i="5"/>
  <c r="BA2" i="5"/>
  <c r="BB2" i="5"/>
  <c r="BC2" i="5"/>
  <c r="BD2" i="5"/>
  <c r="BE2" i="5"/>
  <c r="BF2" i="5"/>
  <c r="BG2" i="5"/>
  <c r="BH2" i="5"/>
  <c r="BI2" i="5"/>
  <c r="BJ2" i="5"/>
  <c r="BK2" i="5"/>
  <c r="BL2" i="5"/>
  <c r="BM2" i="5"/>
  <c r="BN2" i="5"/>
  <c r="BO2" i="5"/>
  <c r="BP2" i="5"/>
  <c r="BQ2" i="5"/>
  <c r="BR2" i="5"/>
  <c r="BS2" i="5"/>
  <c r="BT2" i="5"/>
  <c r="BU2" i="5"/>
  <c r="BV2" i="5"/>
  <c r="BW2" i="5"/>
  <c r="BX2" i="5"/>
  <c r="BY2" i="5"/>
  <c r="BZ2" i="5"/>
  <c r="CA2" i="5"/>
  <c r="CB2" i="5"/>
  <c r="CC2" i="5"/>
  <c r="CD2" i="5"/>
  <c r="CE2" i="5"/>
  <c r="CF2" i="5"/>
  <c r="CG2" i="5"/>
  <c r="CH2" i="5"/>
  <c r="CI2" i="5"/>
  <c r="CJ2" i="5"/>
  <c r="CK2" i="5"/>
  <c r="CL2" i="5"/>
  <c r="CM2" i="5"/>
  <c r="CN2" i="5"/>
  <c r="CO2" i="5"/>
  <c r="CP2" i="5"/>
  <c r="CQ2" i="5"/>
  <c r="CR2" i="5"/>
  <c r="CS2" i="5"/>
  <c r="CT2" i="5"/>
  <c r="CU2" i="5"/>
  <c r="CV2" i="5"/>
  <c r="CW2" i="5"/>
  <c r="CX2" i="5"/>
  <c r="CY2" i="5"/>
  <c r="CZ2" i="5"/>
  <c r="DA2" i="5"/>
  <c r="DB2" i="5"/>
  <c r="DC2" i="5"/>
  <c r="DD2" i="5"/>
  <c r="DE2" i="5"/>
  <c r="DF2" i="5"/>
  <c r="DG2" i="5"/>
  <c r="DH2" i="5"/>
  <c r="DI2" i="5"/>
  <c r="DJ2" i="5"/>
  <c r="DK2" i="5"/>
  <c r="DL2" i="5"/>
  <c r="DM2" i="5"/>
  <c r="DN2" i="5"/>
  <c r="DO2" i="5"/>
  <c r="DP2" i="5"/>
  <c r="DQ2" i="5"/>
  <c r="DR2" i="5"/>
  <c r="DS2" i="5"/>
  <c r="DT2" i="5"/>
  <c r="DU2" i="5"/>
  <c r="DV2" i="5"/>
  <c r="DW2" i="5"/>
  <c r="DX2" i="5"/>
  <c r="DY2" i="5"/>
  <c r="DZ2" i="5"/>
  <c r="EA2" i="5"/>
  <c r="EB2" i="5"/>
  <c r="EC2" i="5"/>
  <c r="ED2" i="5"/>
  <c r="EE2" i="5"/>
  <c r="EF2" i="5"/>
  <c r="EG2" i="5"/>
  <c r="EH2" i="5"/>
  <c r="EI2" i="5"/>
  <c r="EJ2" i="5"/>
  <c r="EK2" i="5"/>
  <c r="EL2" i="5"/>
  <c r="EM2" i="5"/>
  <c r="EN2" i="5"/>
  <c r="EO2" i="5"/>
  <c r="EP2" i="5"/>
  <c r="EQ2" i="5"/>
  <c r="ER2" i="5"/>
  <c r="ES2" i="5"/>
  <c r="ET2" i="5"/>
  <c r="EU2" i="5"/>
  <c r="EV2" i="5"/>
  <c r="EW2" i="5"/>
  <c r="EX2" i="5"/>
  <c r="EY2" i="5"/>
  <c r="EZ2" i="5"/>
  <c r="FA2" i="5"/>
  <c r="FB2" i="5"/>
  <c r="FC2" i="5"/>
  <c r="FD2" i="5"/>
  <c r="FE2" i="5"/>
  <c r="FF2" i="5"/>
  <c r="FG2" i="5"/>
  <c r="FH2" i="5"/>
  <c r="FI2" i="5"/>
  <c r="FJ2" i="5"/>
  <c r="FK2" i="5"/>
  <c r="FL2" i="5"/>
  <c r="FM2" i="5"/>
  <c r="FN2" i="5"/>
  <c r="FO2" i="5"/>
  <c r="FP2" i="5"/>
  <c r="FQ2" i="5"/>
  <c r="FR2" i="5"/>
  <c r="FS2" i="5"/>
  <c r="FT2" i="5"/>
  <c r="FU2" i="5"/>
  <c r="FV2" i="5"/>
  <c r="FW2" i="5"/>
  <c r="FX2" i="5"/>
  <c r="FY2" i="5"/>
  <c r="FZ2" i="5"/>
  <c r="GA2" i="5"/>
  <c r="GB2" i="5"/>
  <c r="GC2" i="5"/>
  <c r="GD2" i="5"/>
  <c r="GE2" i="5"/>
  <c r="GF2" i="5"/>
  <c r="GG2" i="5"/>
  <c r="GH2" i="5"/>
  <c r="GI2" i="5"/>
  <c r="GJ2" i="5"/>
  <c r="GK2" i="5"/>
  <c r="GL2" i="5"/>
  <c r="GM2" i="5"/>
  <c r="GN2" i="5"/>
  <c r="GO2" i="5"/>
  <c r="GP2" i="5"/>
  <c r="GQ2" i="5"/>
  <c r="GR2" i="5"/>
  <c r="GS2" i="5"/>
  <c r="GT2" i="5"/>
  <c r="GU2" i="5"/>
  <c r="GV2" i="5"/>
  <c r="GW2" i="5"/>
  <c r="GX2" i="5"/>
  <c r="GY2" i="5"/>
  <c r="GZ2" i="5"/>
  <c r="HB2" i="5"/>
  <c r="A1" i="5"/>
  <c r="B1" i="5"/>
  <c r="C1" i="5"/>
  <c r="D1" i="5"/>
  <c r="E1" i="5"/>
  <c r="F1" i="5"/>
  <c r="G1" i="5"/>
  <c r="H1" i="5"/>
  <c r="I1" i="5"/>
  <c r="J1" i="5"/>
  <c r="K1" i="5"/>
  <c r="L1" i="5"/>
  <c r="M1" i="5"/>
  <c r="N1" i="5"/>
  <c r="O1" i="5"/>
  <c r="P1" i="5"/>
  <c r="Q1" i="5"/>
  <c r="R1" i="5"/>
  <c r="S1" i="5"/>
  <c r="T1" i="5"/>
  <c r="U1" i="5"/>
  <c r="V1" i="5"/>
  <c r="W1" i="5"/>
  <c r="X1" i="5"/>
  <c r="Y1" i="5"/>
  <c r="Z1" i="5"/>
  <c r="AA1" i="5"/>
  <c r="AB1" i="5"/>
  <c r="AC1" i="5"/>
  <c r="AD1" i="5"/>
  <c r="AE1" i="5"/>
  <c r="AF1" i="5"/>
  <c r="AG1" i="5"/>
  <c r="AH1" i="5"/>
  <c r="AI1" i="5"/>
  <c r="AJ1" i="5"/>
  <c r="AK1" i="5"/>
  <c r="AL1" i="5"/>
  <c r="AM1" i="5"/>
  <c r="AN1" i="5"/>
  <c r="AO1" i="5"/>
  <c r="AP1" i="5"/>
  <c r="AQ1" i="5"/>
  <c r="AR1" i="5"/>
  <c r="AS1" i="5"/>
  <c r="AT1" i="5"/>
  <c r="AU1" i="5"/>
  <c r="AV1" i="5"/>
  <c r="AW1" i="5"/>
  <c r="AX1" i="5"/>
  <c r="AY1" i="5"/>
  <c r="AZ1" i="5"/>
  <c r="BA1" i="5"/>
  <c r="BB1" i="5"/>
  <c r="BC1" i="5"/>
  <c r="BD1" i="5"/>
  <c r="BE1" i="5"/>
  <c r="BF1" i="5"/>
  <c r="BG1" i="5"/>
  <c r="BH1" i="5"/>
  <c r="BI1" i="5"/>
  <c r="BJ1" i="5"/>
  <c r="BK1" i="5"/>
  <c r="BL1" i="5"/>
  <c r="BM1" i="5"/>
  <c r="BN1" i="5"/>
  <c r="BO1" i="5"/>
  <c r="BP1" i="5"/>
  <c r="BQ1" i="5"/>
  <c r="BR1" i="5"/>
  <c r="BS1" i="5"/>
  <c r="BT1" i="5"/>
  <c r="BU1" i="5"/>
  <c r="BV1" i="5"/>
  <c r="BW1" i="5"/>
  <c r="BX1" i="5"/>
  <c r="BY1" i="5"/>
  <c r="BZ1" i="5"/>
  <c r="CA1" i="5"/>
  <c r="CB1" i="5"/>
  <c r="CC1" i="5"/>
  <c r="CD1" i="5"/>
  <c r="CE1" i="5"/>
  <c r="CF1" i="5"/>
  <c r="CG1" i="5"/>
  <c r="CH1" i="5"/>
  <c r="CI1" i="5"/>
  <c r="CJ1" i="5"/>
  <c r="CK1" i="5"/>
  <c r="CL1" i="5"/>
  <c r="CM1" i="5"/>
  <c r="CN1" i="5"/>
  <c r="CO1" i="5"/>
  <c r="CP1" i="5"/>
  <c r="CQ1" i="5"/>
  <c r="CR1" i="5"/>
  <c r="CS1" i="5"/>
  <c r="CT1" i="5"/>
  <c r="CU1" i="5"/>
  <c r="CV1" i="5"/>
  <c r="CW1" i="5"/>
  <c r="CX1" i="5"/>
  <c r="CY1" i="5"/>
  <c r="CZ1" i="5"/>
  <c r="DA1" i="5"/>
  <c r="DB1" i="5"/>
  <c r="DC1" i="5"/>
  <c r="DD1" i="5"/>
  <c r="DE1" i="5"/>
  <c r="DF1" i="5"/>
  <c r="DG1" i="5"/>
  <c r="DH1" i="5"/>
  <c r="DI1" i="5"/>
  <c r="DJ1" i="5"/>
  <c r="DK1" i="5"/>
  <c r="DL1" i="5"/>
  <c r="DM1" i="5"/>
  <c r="DN1" i="5"/>
  <c r="DO1" i="5"/>
  <c r="DP1" i="5"/>
  <c r="DQ1" i="5"/>
  <c r="DR1" i="5"/>
  <c r="DS1" i="5"/>
  <c r="DT1" i="5"/>
  <c r="DU1" i="5"/>
  <c r="DV1" i="5"/>
  <c r="DW1" i="5"/>
  <c r="DX1" i="5"/>
  <c r="DY1" i="5"/>
  <c r="DZ1" i="5"/>
  <c r="EA1" i="5"/>
  <c r="EB1" i="5"/>
  <c r="EC1" i="5"/>
  <c r="ED1" i="5"/>
  <c r="EE1" i="5"/>
  <c r="EF1" i="5"/>
  <c r="EG1" i="5"/>
  <c r="EH1" i="5"/>
  <c r="EI1" i="5"/>
  <c r="EJ1" i="5"/>
  <c r="EK1" i="5"/>
  <c r="EL1" i="5"/>
  <c r="EM1" i="5"/>
  <c r="EN1" i="5"/>
  <c r="EO1" i="5"/>
  <c r="EP1" i="5"/>
  <c r="EQ1" i="5"/>
  <c r="ER1" i="5"/>
  <c r="ES1" i="5"/>
  <c r="ET1" i="5"/>
  <c r="EU1" i="5"/>
  <c r="EV1" i="5"/>
  <c r="EW1" i="5"/>
  <c r="EX1" i="5"/>
  <c r="EY1" i="5"/>
  <c r="EZ1" i="5"/>
  <c r="FA1" i="5"/>
  <c r="FB1" i="5"/>
  <c r="FC1" i="5"/>
  <c r="FD1" i="5"/>
  <c r="FE1" i="5"/>
  <c r="FF1" i="5"/>
  <c r="FG1" i="5"/>
  <c r="FH1" i="5"/>
  <c r="FI1" i="5"/>
  <c r="FJ1" i="5"/>
  <c r="FK1" i="5"/>
  <c r="FL1" i="5"/>
  <c r="FM1" i="5"/>
  <c r="FN1" i="5"/>
  <c r="FO1" i="5"/>
  <c r="FP1" i="5"/>
  <c r="FQ1" i="5"/>
  <c r="FR1" i="5"/>
  <c r="FS1" i="5"/>
  <c r="FT1" i="5"/>
  <c r="FU1" i="5"/>
  <c r="FV1" i="5"/>
  <c r="FW1" i="5"/>
  <c r="FX1" i="5"/>
  <c r="FY1" i="5"/>
  <c r="FZ1" i="5"/>
  <c r="GA1" i="5"/>
  <c r="GB1" i="5"/>
  <c r="GC1" i="5"/>
  <c r="GD1" i="5"/>
  <c r="GE1" i="5"/>
  <c r="GF1" i="5"/>
  <c r="GG1" i="5"/>
  <c r="GH1" i="5"/>
  <c r="GI1" i="5"/>
  <c r="GJ1" i="5"/>
  <c r="GK1" i="5"/>
  <c r="GL1" i="5"/>
  <c r="GM1" i="5"/>
  <c r="GN1" i="5"/>
  <c r="GO1" i="5"/>
  <c r="GP1" i="5"/>
  <c r="GQ1" i="5"/>
  <c r="GR1" i="5"/>
  <c r="GS1" i="5"/>
  <c r="GT1" i="5"/>
  <c r="GU1" i="5"/>
  <c r="GV1" i="5"/>
  <c r="GW1" i="5"/>
  <c r="GX1" i="5"/>
  <c r="GY1" i="5"/>
  <c r="GZ1" i="5"/>
  <c r="HA1" i="5"/>
  <c r="HB1" i="5"/>
  <c r="HC1" i="5"/>
  <c r="HD1" i="5"/>
  <c r="HE1" i="5"/>
  <c r="HF1" i="5"/>
  <c r="HG1" i="5"/>
  <c r="HH1" i="5"/>
  <c r="HI1" i="5"/>
  <c r="HJ1" i="5"/>
  <c r="HK1" i="5"/>
  <c r="HL1" i="5"/>
  <c r="HM1" i="5"/>
  <c r="HN1" i="5"/>
  <c r="HO1" i="5"/>
  <c r="HP1" i="5"/>
  <c r="HQ1" i="5"/>
  <c r="HR1" i="5"/>
  <c r="HS1" i="5"/>
  <c r="HT1" i="5"/>
  <c r="HU1" i="5"/>
  <c r="HV1" i="5"/>
  <c r="HW1" i="5"/>
  <c r="HX1" i="5"/>
  <c r="HY1" i="5"/>
  <c r="HZ1" i="5"/>
  <c r="IA1" i="5"/>
  <c r="IB1" i="5"/>
  <c r="IC1" i="5"/>
  <c r="ID1" i="5"/>
  <c r="IE1" i="5"/>
  <c r="IF1" i="5"/>
  <c r="IG1" i="5"/>
  <c r="IH1" i="5"/>
  <c r="II1" i="5"/>
  <c r="IJ1" i="5"/>
  <c r="IK1" i="5"/>
  <c r="IL1" i="5"/>
  <c r="IM1" i="5"/>
  <c r="IN1" i="5"/>
  <c r="IO1" i="5"/>
  <c r="IP1" i="5"/>
  <c r="IQ1" i="5"/>
  <c r="IR1" i="5"/>
  <c r="IS1" i="5"/>
  <c r="IT1" i="5"/>
  <c r="IU1" i="5"/>
  <c r="IV1" i="5"/>
</calcChain>
</file>

<file path=xl/sharedStrings.xml><?xml version="1.0" encoding="utf-8"?>
<sst xmlns="http://schemas.openxmlformats.org/spreadsheetml/2006/main" count="69" uniqueCount="60">
  <si>
    <t>AAAAAF/5/9A=</t>
  </si>
  <si>
    <t>10時</t>
    <rPh sb="2" eb="3">
      <t>ジ</t>
    </rPh>
    <phoneticPr fontId="1"/>
  </si>
  <si>
    <t>11時</t>
    <rPh sb="2" eb="3">
      <t>ジ</t>
    </rPh>
    <phoneticPr fontId="1"/>
  </si>
  <si>
    <t>12時</t>
    <rPh sb="2" eb="3">
      <t>ジ</t>
    </rPh>
    <phoneticPr fontId="1"/>
  </si>
  <si>
    <t>13時</t>
    <rPh sb="2" eb="3">
      <t>ジ</t>
    </rPh>
    <phoneticPr fontId="1"/>
  </si>
  <si>
    <t>14時</t>
    <rPh sb="2" eb="3">
      <t>ジ</t>
    </rPh>
    <phoneticPr fontId="1"/>
  </si>
  <si>
    <t>15時</t>
    <rPh sb="2" eb="3">
      <t>ジ</t>
    </rPh>
    <phoneticPr fontId="1"/>
  </si>
  <si>
    <t>16時</t>
    <rPh sb="2" eb="3">
      <t>ジ</t>
    </rPh>
    <phoneticPr fontId="1"/>
  </si>
  <si>
    <t>17時</t>
    <rPh sb="2" eb="3">
      <t>ジ</t>
    </rPh>
    <phoneticPr fontId="1"/>
  </si>
  <si>
    <t>18時</t>
    <rPh sb="2" eb="3">
      <t>ジ</t>
    </rPh>
    <phoneticPr fontId="1"/>
  </si>
  <si>
    <t>19時</t>
    <rPh sb="2" eb="3">
      <t>ジ</t>
    </rPh>
    <phoneticPr fontId="1"/>
  </si>
  <si>
    <t>20時</t>
    <rPh sb="2" eb="3">
      <t>ジ</t>
    </rPh>
    <phoneticPr fontId="1"/>
  </si>
  <si>
    <t>曜日</t>
    <rPh sb="0" eb="2">
      <t>ヨウビ</t>
    </rPh>
    <phoneticPr fontId="1"/>
  </si>
  <si>
    <t>時間</t>
    <rPh sb="0" eb="2">
      <t>ジカン</t>
    </rPh>
    <phoneticPr fontId="1"/>
  </si>
  <si>
    <t>講師</t>
    <rPh sb="0" eb="2">
      <t>コウシ</t>
    </rPh>
    <phoneticPr fontId="1"/>
  </si>
  <si>
    <t>火</t>
    <rPh sb="0" eb="1">
      <t>ヒ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</si>
  <si>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</si>
  <si>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</si>
  <si>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土</t>
    <rPh sb="0" eb="1">
      <t>ド</t>
    </rPh>
    <phoneticPr fontId="1"/>
  </si>
  <si>
    <t>月</t>
    <rPh sb="0" eb="1">
      <t>ゲツ</t>
    </rPh>
    <phoneticPr fontId="1"/>
  </si>
  <si>
    <r>
      <rPr>
        <b/>
        <sz val="28"/>
        <color rgb="FF0000FF"/>
        <rFont val="Arial"/>
        <family val="2"/>
      </rPr>
      <t>B</t>
    </r>
    <r>
      <rPr>
        <b/>
        <sz val="20"/>
        <color rgb="FF0000FF"/>
        <rFont val="Arial"/>
        <family val="2"/>
      </rPr>
      <t xml:space="preserve">
</t>
    </r>
    <r>
      <rPr>
        <sz val="14"/>
        <rFont val="ＭＳ Ｐゴシック"/>
        <family val="3"/>
        <charset val="128"/>
      </rPr>
      <t>知的な英会話を
楽しみたい方</t>
    </r>
    <rPh sb="2" eb="4">
      <t>チテキ</t>
    </rPh>
    <rPh sb="5" eb="6">
      <t>エイ</t>
    </rPh>
    <rPh sb="6" eb="8">
      <t>カイワ</t>
    </rPh>
    <rPh sb="10" eb="11">
      <t>タノ</t>
    </rPh>
    <rPh sb="15" eb="16">
      <t>カタ</t>
    </rPh>
    <phoneticPr fontId="1"/>
  </si>
  <si>
    <r>
      <rPr>
        <b/>
        <sz val="28"/>
        <color rgb="FF0000FF"/>
        <rFont val="Arial"/>
        <family val="2"/>
      </rPr>
      <t>D</t>
    </r>
    <r>
      <rPr>
        <b/>
        <sz val="14"/>
        <color rgb="FF0000FF"/>
        <rFont val="Arial"/>
        <family val="2"/>
      </rPr>
      <t xml:space="preserve">
</t>
    </r>
    <r>
      <rPr>
        <sz val="14"/>
        <rFont val="ＭＳ Ｐゴシック"/>
        <family val="3"/>
        <charset val="128"/>
      </rPr>
      <t>基礎英会話
高校生・社会人の方</t>
    </r>
    <phoneticPr fontId="1"/>
  </si>
  <si>
    <r>
      <rPr>
        <b/>
        <sz val="28"/>
        <color rgb="FF0000FF"/>
        <rFont val="Arial"/>
        <family val="2"/>
      </rPr>
      <t>C</t>
    </r>
    <r>
      <rPr>
        <b/>
        <sz val="20"/>
        <color rgb="FF0000FF"/>
        <rFont val="Arial"/>
        <family val="2"/>
      </rPr>
      <t xml:space="preserve">
</t>
    </r>
    <r>
      <rPr>
        <sz val="14"/>
        <rFont val="ＭＳ Ｐゴシック"/>
        <family val="3"/>
        <charset val="128"/>
      </rPr>
      <t>趣味から実用へ
社会人の方</t>
    </r>
    <rPh sb="2" eb="4">
      <t>シュミ</t>
    </rPh>
    <rPh sb="6" eb="8">
      <t>ジツヨウ</t>
    </rPh>
    <phoneticPr fontId="1"/>
  </si>
  <si>
    <r>
      <rPr>
        <b/>
        <sz val="22"/>
        <color rgb="FF00B0F0"/>
        <rFont val="ＭＳ Ｐゴシック"/>
        <family val="3"/>
        <charset val="128"/>
      </rPr>
      <t>英語塾</t>
    </r>
    <r>
      <rPr>
        <b/>
        <sz val="14"/>
        <color rgb="FFFF66CC"/>
        <rFont val="Arial"/>
        <family val="2"/>
      </rPr>
      <t xml:space="preserve">
</t>
    </r>
    <r>
      <rPr>
        <sz val="14"/>
        <rFont val="ＭＳ Ｐゴシック"/>
        <family val="3"/>
        <charset val="128"/>
      </rPr>
      <t>中学生　英検対策クラス</t>
    </r>
    <rPh sb="0" eb="2">
      <t>エイゴ</t>
    </rPh>
    <rPh sb="2" eb="3">
      <t>ジュク</t>
    </rPh>
    <rPh sb="4" eb="7">
      <t>チュウガクセイ</t>
    </rPh>
    <rPh sb="8" eb="10">
      <t>エイケン</t>
    </rPh>
    <rPh sb="10" eb="12">
      <t>タイサク</t>
    </rPh>
    <phoneticPr fontId="1"/>
  </si>
  <si>
    <r>
      <rPr>
        <b/>
        <sz val="22"/>
        <color rgb="FF00B0F0"/>
        <rFont val="ＭＳ Ｐゴシック"/>
        <family val="3"/>
        <charset val="128"/>
      </rPr>
      <t>英語塾</t>
    </r>
    <r>
      <rPr>
        <b/>
        <sz val="14"/>
        <color rgb="FFFF66CC"/>
        <rFont val="Arial"/>
        <family val="2"/>
      </rPr>
      <t xml:space="preserve">
</t>
    </r>
    <r>
      <rPr>
        <sz val="14"/>
        <rFont val="ＭＳ Ｐゴシック"/>
        <family val="3"/>
        <charset val="128"/>
      </rPr>
      <t>中高生　英検対策クラス</t>
    </r>
    <rPh sb="0" eb="2">
      <t>エイゴ</t>
    </rPh>
    <rPh sb="2" eb="3">
      <t>ジュク</t>
    </rPh>
    <phoneticPr fontId="1"/>
  </si>
  <si>
    <t>金</t>
    <rPh sb="0" eb="1">
      <t>キン</t>
    </rPh>
    <phoneticPr fontId="1"/>
  </si>
  <si>
    <r>
      <rPr>
        <b/>
        <sz val="24"/>
        <color rgb="FFFF0000"/>
        <rFont val="Arial"/>
        <family val="2"/>
      </rPr>
      <t>WOW 1</t>
    </r>
    <r>
      <rPr>
        <b/>
        <sz val="14"/>
        <color rgb="FFFF0000"/>
        <rFont val="Arial"/>
        <family val="2"/>
      </rPr>
      <t xml:space="preserve">
</t>
    </r>
    <r>
      <rPr>
        <b/>
        <sz val="14"/>
        <rFont val="ＭＳ Ｐゴシック"/>
        <family val="3"/>
        <charset val="128"/>
      </rPr>
      <t>幼児</t>
    </r>
    <r>
      <rPr>
        <sz val="14"/>
        <rFont val="ＭＳ Ｐゴシック"/>
        <family val="3"/>
        <charset val="128"/>
      </rPr>
      <t>クラス</t>
    </r>
    <rPh sb="6" eb="8">
      <t>ヨウジ</t>
    </rPh>
    <phoneticPr fontId="1"/>
  </si>
  <si>
    <t>中高生
英会話</t>
    <rPh sb="0" eb="3">
      <t>チュウコウセイ</t>
    </rPh>
    <rPh sb="4" eb="7">
      <t>エイカイワ</t>
    </rPh>
    <phoneticPr fontId="1"/>
  </si>
  <si>
    <t>Joe</t>
    <phoneticPr fontId="1"/>
  </si>
  <si>
    <t>Joe</t>
    <phoneticPr fontId="1"/>
  </si>
  <si>
    <t>広々とした明るい教室です☆一度遊びに来てください。
一緒に新しいこと始めてみませんか？</t>
    <rPh sb="0" eb="2">
      <t>ヒロビロ</t>
    </rPh>
    <rPh sb="5" eb="6">
      <t>アカ</t>
    </rPh>
    <rPh sb="8" eb="10">
      <t>キョウシツ</t>
    </rPh>
    <rPh sb="13" eb="15">
      <t>イチド</t>
    </rPh>
    <rPh sb="15" eb="16">
      <t>アソ</t>
    </rPh>
    <rPh sb="18" eb="19">
      <t>キ</t>
    </rPh>
    <rPh sb="26" eb="28">
      <t>イッショ</t>
    </rPh>
    <rPh sb="29" eb="30">
      <t>アタラ</t>
    </rPh>
    <rPh sb="34" eb="35">
      <t>ハジ</t>
    </rPh>
    <phoneticPr fontId="1"/>
  </si>
  <si>
    <r>
      <rPr>
        <b/>
        <sz val="24"/>
        <color rgb="FFFF0000"/>
        <rFont val="Arial"/>
        <family val="2"/>
      </rPr>
      <t>Starter(PW1)</t>
    </r>
    <r>
      <rPr>
        <b/>
        <sz val="14"/>
        <color rgb="FFFF0000"/>
        <rFont val="Arial"/>
        <family val="2"/>
      </rPr>
      <t xml:space="preserve">
</t>
    </r>
    <r>
      <rPr>
        <b/>
        <sz val="14"/>
        <color rgb="FFFF0000"/>
        <rFont val="ＭＳ Ｐゴシック"/>
        <family val="3"/>
        <charset val="128"/>
      </rPr>
      <t>園児・小学生クラス</t>
    </r>
    <rPh sb="13" eb="15">
      <t>エンジ</t>
    </rPh>
    <rPh sb="16" eb="19">
      <t>ショウガクセイ</t>
    </rPh>
    <phoneticPr fontId="1"/>
  </si>
  <si>
    <t>Shane</t>
    <phoneticPr fontId="1"/>
  </si>
  <si>
    <r>
      <rPr>
        <b/>
        <sz val="24"/>
        <color rgb="FFFF0000"/>
        <rFont val="Arial"/>
        <family val="2"/>
      </rPr>
      <t>WOW 2</t>
    </r>
    <r>
      <rPr>
        <b/>
        <sz val="14"/>
        <color rgb="FFFF0000"/>
        <rFont val="Arial"/>
        <family val="2"/>
      </rPr>
      <t xml:space="preserve">
</t>
    </r>
    <r>
      <rPr>
        <b/>
        <sz val="14"/>
        <rFont val="ＭＳ Ｐゴシック"/>
        <family val="3"/>
        <charset val="128"/>
      </rPr>
      <t>幼児</t>
    </r>
    <r>
      <rPr>
        <sz val="14"/>
        <rFont val="ＭＳ Ｐゴシック"/>
        <family val="3"/>
        <charset val="128"/>
      </rPr>
      <t>クラス</t>
    </r>
    <rPh sb="6" eb="8">
      <t>ヨウジ</t>
    </rPh>
    <phoneticPr fontId="1"/>
  </si>
  <si>
    <r>
      <rPr>
        <b/>
        <sz val="24"/>
        <color rgb="FFFD811B"/>
        <rFont val="Arial"/>
        <family val="2"/>
      </rPr>
      <t>EOW 1</t>
    </r>
    <r>
      <rPr>
        <b/>
        <sz val="14"/>
        <color rgb="FFFD811B"/>
        <rFont val="Arial"/>
        <family val="2"/>
      </rPr>
      <t xml:space="preserve">
</t>
    </r>
    <r>
      <rPr>
        <sz val="14"/>
        <color rgb="FFFD811B"/>
        <rFont val="ＭＳ Ｐゴシック"/>
        <family val="3"/>
        <charset val="128"/>
      </rPr>
      <t>小学生クラス</t>
    </r>
    <phoneticPr fontId="1"/>
  </si>
  <si>
    <r>
      <rPr>
        <b/>
        <sz val="22"/>
        <color rgb="FF00B050"/>
        <rFont val="Arial"/>
        <family val="2"/>
      </rPr>
      <t>Readng&amp;Writing3</t>
    </r>
    <r>
      <rPr>
        <b/>
        <sz val="22"/>
        <color rgb="FF00B050"/>
        <rFont val="ＭＳ Ｐゴシック"/>
        <family val="3"/>
        <charset val="128"/>
      </rPr>
      <t xml:space="preserve">
英語で読み書き</t>
    </r>
    <r>
      <rPr>
        <b/>
        <sz val="24"/>
        <color rgb="FF00B050"/>
        <rFont val="ＭＳ Ｐゴシック"/>
        <family val="3"/>
        <charset val="128"/>
      </rPr>
      <t xml:space="preserve">
</t>
    </r>
    <r>
      <rPr>
        <sz val="14"/>
        <rFont val="ＭＳ Ｐゴシック"/>
        <family val="3"/>
        <charset val="128"/>
      </rPr>
      <t>小学生中高学年クラス</t>
    </r>
    <phoneticPr fontId="1"/>
  </si>
  <si>
    <t>21時</t>
    <rPh sb="2" eb="3">
      <t>ジ</t>
    </rPh>
    <phoneticPr fontId="1"/>
  </si>
  <si>
    <r>
      <t xml:space="preserve">P
</t>
    </r>
    <r>
      <rPr>
        <sz val="14"/>
        <color theme="1"/>
        <rFont val="ＭＳ Ｐゴシック"/>
        <family val="3"/>
        <charset val="128"/>
      </rPr>
      <t>プライベートレッスン</t>
    </r>
  </si>
  <si>
    <r>
      <rPr>
        <b/>
        <sz val="24"/>
        <color rgb="FFFD811B"/>
        <rFont val="Arial"/>
        <family val="2"/>
      </rPr>
      <t>EOW 3</t>
    </r>
    <r>
      <rPr>
        <b/>
        <sz val="14"/>
        <color rgb="FFFD811B"/>
        <rFont val="Arial"/>
        <family val="2"/>
      </rPr>
      <t xml:space="preserve">
</t>
    </r>
    <r>
      <rPr>
        <sz val="14"/>
        <color rgb="FFFD811B"/>
        <rFont val="ＭＳ Ｐゴシック"/>
        <family val="3"/>
        <charset val="128"/>
      </rPr>
      <t>小学生クラス</t>
    </r>
    <rPh sb="6" eb="7">
      <t>ショウ</t>
    </rPh>
    <rPh sb="7" eb="8">
      <t>ガク</t>
    </rPh>
    <rPh sb="8" eb="9">
      <t>セイ</t>
    </rPh>
    <phoneticPr fontId="1"/>
  </si>
  <si>
    <r>
      <rPr>
        <b/>
        <sz val="24"/>
        <color rgb="FFFD811B"/>
        <rFont val="Arial"/>
        <family val="2"/>
      </rPr>
      <t>EOW 6</t>
    </r>
    <r>
      <rPr>
        <b/>
        <sz val="14"/>
        <color rgb="FFFD811B"/>
        <rFont val="Arial"/>
        <family val="2"/>
      </rPr>
      <t xml:space="preserve">
</t>
    </r>
    <r>
      <rPr>
        <sz val="14"/>
        <color rgb="FFFD811B"/>
        <rFont val="ＭＳ Ｐゴシック"/>
        <family val="3"/>
        <charset val="128"/>
      </rPr>
      <t>小中学生クラス</t>
    </r>
    <rPh sb="7" eb="8">
      <t>チュウ</t>
    </rPh>
    <phoneticPr fontId="1"/>
  </si>
  <si>
    <r>
      <rPr>
        <b/>
        <sz val="24"/>
        <color rgb="FFFD811B"/>
        <rFont val="Arial"/>
        <family val="2"/>
      </rPr>
      <t>E</t>
    </r>
    <r>
      <rPr>
        <b/>
        <sz val="24"/>
        <color rgb="FFFD811B"/>
        <rFont val="ＭＳ Ｐゴシック"/>
        <family val="3"/>
        <charset val="128"/>
      </rPr>
      <t>Ｏ</t>
    </r>
    <r>
      <rPr>
        <b/>
        <sz val="24"/>
        <color rgb="FFFD811B"/>
        <rFont val="Arial"/>
        <family val="2"/>
      </rPr>
      <t>W 6</t>
    </r>
    <r>
      <rPr>
        <b/>
        <sz val="14"/>
        <color rgb="FFFD811B"/>
        <rFont val="Arial"/>
        <family val="2"/>
      </rPr>
      <t xml:space="preserve">
</t>
    </r>
    <r>
      <rPr>
        <sz val="14"/>
        <color rgb="FFFD811B"/>
        <rFont val="ＭＳ Ｐゴシック"/>
        <family val="3"/>
        <charset val="128"/>
      </rPr>
      <t>小学生クラス</t>
    </r>
    <phoneticPr fontId="1"/>
  </si>
  <si>
    <r>
      <rPr>
        <b/>
        <sz val="24"/>
        <color rgb="FFFD811B"/>
        <rFont val="Arial"/>
        <family val="2"/>
      </rPr>
      <t>EOW 3</t>
    </r>
    <r>
      <rPr>
        <b/>
        <sz val="14"/>
        <color rgb="FFFD811B"/>
        <rFont val="Arial"/>
        <family val="2"/>
      </rPr>
      <t xml:space="preserve">
</t>
    </r>
    <r>
      <rPr>
        <sz val="14"/>
        <color rgb="FFFD811B"/>
        <rFont val="ＭＳ Ｐゴシック"/>
        <family val="3"/>
        <charset val="128"/>
      </rPr>
      <t>小中学生クラス</t>
    </r>
    <rPh sb="7" eb="8">
      <t>チュウ</t>
    </rPh>
    <phoneticPr fontId="1"/>
  </si>
  <si>
    <t>Eri/Yukari</t>
    <phoneticPr fontId="1"/>
  </si>
  <si>
    <t>Eri/Yukari/Rui</t>
    <phoneticPr fontId="1"/>
  </si>
  <si>
    <t>Misae/ Yaeko</t>
    <phoneticPr fontId="1"/>
  </si>
  <si>
    <r>
      <rPr>
        <b/>
        <sz val="22"/>
        <color rgb="FF00B0F0"/>
        <rFont val="ＭＳ Ｐゴシック"/>
        <family val="3"/>
        <charset val="128"/>
      </rPr>
      <t>英語塾</t>
    </r>
    <r>
      <rPr>
        <b/>
        <sz val="14"/>
        <color rgb="FFFF66CC"/>
        <rFont val="Arial"/>
        <family val="2"/>
      </rPr>
      <t xml:space="preserve">
</t>
    </r>
    <r>
      <rPr>
        <sz val="14"/>
        <rFont val="ＭＳ Ｐゴシック"/>
        <family val="3"/>
        <charset val="128"/>
      </rPr>
      <t>小中学生　英検対策</t>
    </r>
    <rPh sb="0" eb="2">
      <t>エイゴ</t>
    </rPh>
    <rPh sb="2" eb="3">
      <t>ジュク</t>
    </rPh>
    <rPh sb="4" eb="5">
      <t>ショウ</t>
    </rPh>
    <rPh sb="5" eb="8">
      <t>チュウガクセイ</t>
    </rPh>
    <rPh sb="9" eb="11">
      <t>エイケン</t>
    </rPh>
    <rPh sb="11" eb="13">
      <t>タイサク</t>
    </rPh>
    <phoneticPr fontId="1"/>
  </si>
  <si>
    <r>
      <rPr>
        <b/>
        <sz val="22"/>
        <color rgb="FF00B0F0"/>
        <rFont val="ＭＳ Ｐゴシック"/>
        <family val="3"/>
        <charset val="128"/>
      </rPr>
      <t>英語塾</t>
    </r>
    <r>
      <rPr>
        <b/>
        <sz val="14"/>
        <color rgb="FFFF66CC"/>
        <rFont val="Arial"/>
        <family val="2"/>
      </rPr>
      <t xml:space="preserve">
</t>
    </r>
    <r>
      <rPr>
        <sz val="14"/>
        <rFont val="ＭＳ Ｐゴシック"/>
        <family val="3"/>
        <charset val="128"/>
      </rPr>
      <t>小中学生　初めての英検対策</t>
    </r>
    <rPh sb="0" eb="2">
      <t>エイゴ</t>
    </rPh>
    <rPh sb="2" eb="3">
      <t>ジュク</t>
    </rPh>
    <rPh sb="4" eb="5">
      <t>ショウ</t>
    </rPh>
    <rPh sb="5" eb="8">
      <t>チュウガクセイ</t>
    </rPh>
    <rPh sb="9" eb="10">
      <t>ハジ</t>
    </rPh>
    <rPh sb="13" eb="15">
      <t>エイケン</t>
    </rPh>
    <rPh sb="15" eb="17">
      <t>タイサク</t>
    </rPh>
    <phoneticPr fontId="1"/>
  </si>
  <si>
    <r>
      <rPr>
        <b/>
        <sz val="22"/>
        <color rgb="FF00B0F0"/>
        <rFont val="ＭＳ Ｐゴシック"/>
        <family val="3"/>
        <charset val="128"/>
      </rPr>
      <t>英語塾</t>
    </r>
    <r>
      <rPr>
        <b/>
        <sz val="14"/>
        <color rgb="FFFF66CC"/>
        <rFont val="Arial"/>
        <family val="2"/>
      </rPr>
      <t xml:space="preserve">
</t>
    </r>
    <r>
      <rPr>
        <sz val="14"/>
        <rFont val="ＭＳ Ｐゴシック"/>
        <family val="3"/>
        <charset val="128"/>
      </rPr>
      <t>中高生　英検対策クラス</t>
    </r>
    <rPh sb="0" eb="2">
      <t>エイゴ</t>
    </rPh>
    <rPh sb="2" eb="3">
      <t>ジュク</t>
    </rPh>
    <rPh sb="4" eb="6">
      <t>チュウコウ</t>
    </rPh>
    <phoneticPr fontId="1"/>
  </si>
  <si>
    <r>
      <rPr>
        <b/>
        <sz val="24"/>
        <color rgb="FFFF0000"/>
        <rFont val="Arial"/>
        <family val="2"/>
      </rPr>
      <t xml:space="preserve">Phonics2
</t>
    </r>
    <r>
      <rPr>
        <b/>
        <sz val="14"/>
        <color rgb="FFFF0000"/>
        <rFont val="ＭＳ Ｐゴシック"/>
        <family val="3"/>
        <charset val="128"/>
      </rPr>
      <t>小学生クラス</t>
    </r>
    <rPh sb="9" eb="12">
      <t>ショウガクセイ</t>
    </rPh>
    <phoneticPr fontId="1"/>
  </si>
  <si>
    <r>
      <rPr>
        <b/>
        <sz val="22"/>
        <color rgb="FF00B050"/>
        <rFont val="Arial"/>
        <family val="2"/>
      </rPr>
      <t>Readng&amp;Writing2</t>
    </r>
    <r>
      <rPr>
        <b/>
        <sz val="22"/>
        <color rgb="FF00B050"/>
        <rFont val="ＭＳ Ｐゴシック"/>
        <family val="3"/>
        <charset val="128"/>
      </rPr>
      <t xml:space="preserve">
英語で読み書き</t>
    </r>
    <r>
      <rPr>
        <b/>
        <sz val="24"/>
        <color rgb="FF00B050"/>
        <rFont val="ＭＳ Ｐゴシック"/>
        <family val="3"/>
        <charset val="128"/>
      </rPr>
      <t xml:space="preserve">
</t>
    </r>
    <r>
      <rPr>
        <sz val="14"/>
        <rFont val="ＭＳ Ｐゴシック"/>
        <family val="3"/>
        <charset val="128"/>
      </rPr>
      <t>小学生クラス</t>
    </r>
    <rPh sb="26" eb="27">
      <t>セイ</t>
    </rPh>
    <phoneticPr fontId="1"/>
  </si>
  <si>
    <r>
      <rPr>
        <b/>
        <sz val="24"/>
        <color rgb="FFFF0000"/>
        <rFont val="Arial"/>
        <family val="2"/>
      </rPr>
      <t>WOW 2</t>
    </r>
    <r>
      <rPr>
        <b/>
        <sz val="14"/>
        <color rgb="FFFF0000"/>
        <rFont val="Arial"/>
        <family val="2"/>
      </rPr>
      <t xml:space="preserve">
</t>
    </r>
    <r>
      <rPr>
        <b/>
        <sz val="14"/>
        <color theme="1"/>
        <rFont val="ＭＳ Ｐゴシック"/>
        <family val="3"/>
        <charset val="128"/>
      </rPr>
      <t>園児</t>
    </r>
    <r>
      <rPr>
        <sz val="14"/>
        <color theme="1"/>
        <rFont val="ＭＳ Ｐゴシック"/>
        <family val="3"/>
        <charset val="128"/>
      </rPr>
      <t>クラス</t>
    </r>
  </si>
  <si>
    <r>
      <rPr>
        <b/>
        <sz val="24"/>
        <color rgb="FFFD811B"/>
        <rFont val="Arial"/>
        <family val="2"/>
      </rPr>
      <t>EOW 4</t>
    </r>
    <r>
      <rPr>
        <b/>
        <sz val="14"/>
        <color rgb="FFFD811B"/>
        <rFont val="Arial"/>
        <family val="2"/>
      </rPr>
      <t xml:space="preserve">
</t>
    </r>
    <r>
      <rPr>
        <sz val="14"/>
        <color rgb="FFFD811B"/>
        <rFont val="ＭＳ Ｐゴシック"/>
        <family val="3"/>
        <charset val="128"/>
      </rPr>
      <t>小学生クラス</t>
    </r>
    <phoneticPr fontId="1"/>
  </si>
  <si>
    <t>学童</t>
    <rPh sb="0" eb="2">
      <t>ガクドウ</t>
    </rPh>
    <phoneticPr fontId="1"/>
  </si>
  <si>
    <r>
      <rPr>
        <b/>
        <sz val="22"/>
        <color rgb="FF0000FF"/>
        <rFont val="ＭＳ Ｐゴシック"/>
        <family val="2"/>
        <charset val="128"/>
      </rPr>
      <t>プログラミング</t>
    </r>
    <r>
      <rPr>
        <b/>
        <sz val="18"/>
        <color rgb="FF0000FF"/>
        <rFont val="ＭＳ Ｐゴシック"/>
        <family val="3"/>
        <charset val="128"/>
        <scheme val="minor"/>
      </rPr>
      <t xml:space="preserve">
</t>
    </r>
    <r>
      <rPr>
        <b/>
        <sz val="18"/>
        <rFont val="ＭＳ Ｐゴシック"/>
        <family val="3"/>
        <charset val="128"/>
        <scheme val="minor"/>
      </rPr>
      <t>第1，3週
アドバンス1
第2，4週
アドバンス2</t>
    </r>
    <rPh sb="9" eb="10">
      <t>ダイ</t>
    </rPh>
    <rPh sb="13" eb="14">
      <t>シュウ</t>
    </rPh>
    <rPh sb="22" eb="23">
      <t>ダイ</t>
    </rPh>
    <rPh sb="26" eb="27">
      <t>シュウ</t>
    </rPh>
    <phoneticPr fontId="1"/>
  </si>
  <si>
    <r>
      <rPr>
        <b/>
        <sz val="28"/>
        <color rgb="FF0000FF"/>
        <rFont val="Arial"/>
        <family val="2"/>
      </rPr>
      <t>D1</t>
    </r>
    <r>
      <rPr>
        <b/>
        <sz val="14"/>
        <color rgb="FF0000FF"/>
        <rFont val="Arial"/>
        <family val="2"/>
      </rPr>
      <t xml:space="preserve">
</t>
    </r>
    <r>
      <rPr>
        <sz val="14"/>
        <rFont val="ＭＳ Ｐゴシック"/>
        <family val="3"/>
        <charset val="128"/>
      </rPr>
      <t>基礎英会話
高校生・社会人の方</t>
    </r>
    <phoneticPr fontId="1"/>
  </si>
  <si>
    <r>
      <t xml:space="preserve">プログラミング
</t>
    </r>
    <r>
      <rPr>
        <b/>
        <sz val="18"/>
        <color theme="1"/>
        <rFont val="ＭＳ Ｐゴシック"/>
        <family val="2"/>
        <charset val="128"/>
      </rPr>
      <t>毎週
ベーシック1</t>
    </r>
    <rPh sb="1" eb="4">
      <t>チュウガクセイ</t>
    </rPh>
    <rPh sb="5" eb="7">
      <t>エイケン</t>
    </rPh>
    <rPh sb="8" eb="10">
      <t>マイシュウ</t>
    </rPh>
    <phoneticPr fontId="1"/>
  </si>
  <si>
    <t xml:space="preserve">
学童</t>
    <rPh sb="0" eb="1">
      <t>ガクドウ</t>
    </rPh>
    <phoneticPr fontId="1"/>
  </si>
  <si>
    <r>
      <t xml:space="preserve">Phonics1
</t>
    </r>
    <r>
      <rPr>
        <b/>
        <sz val="14"/>
        <color rgb="FFFF0000"/>
        <rFont val="ＭＳ Ｐゴシック"/>
        <family val="2"/>
        <charset val="128"/>
        <scheme val="minor"/>
      </rPr>
      <t>小学生クラス</t>
    </r>
    <phoneticPr fontId="1"/>
  </si>
  <si>
    <t>√</t>
    <phoneticPr fontId="1"/>
  </si>
  <si>
    <t>◎英会話・プログラミング無料体験、随時受付中！
◎余戸校のみ！学童サービスやってます！詳細はお問い合わせください
◎プライベートレッスン（空き枠のみ可）では、ご希望の内容でレッスン致します
◎プライベートレッスンは全教科（国語・算数・数学・理科・社会・英語）対応！</t>
    <rPh sb="1" eb="4">
      <t>エイカイワ</t>
    </rPh>
    <rPh sb="25" eb="27">
      <t>ヨウゴ</t>
    </rPh>
    <rPh sb="27" eb="28">
      <t>コウシャ</t>
    </rPh>
    <rPh sb="31" eb="33">
      <t>ガクドウ</t>
    </rPh>
    <rPh sb="43" eb="45">
      <t>ショウサイ</t>
    </rPh>
    <rPh sb="47" eb="48">
      <t>ト</t>
    </rPh>
    <rPh sb="49" eb="50">
      <t>ア</t>
    </rPh>
    <rPh sb="69" eb="70">
      <t>ア</t>
    </rPh>
    <rPh sb="71" eb="72">
      <t>ワク</t>
    </rPh>
    <rPh sb="74" eb="75">
      <t>カ</t>
    </rPh>
    <rPh sb="80" eb="82">
      <t>キボウ</t>
    </rPh>
    <rPh sb="83" eb="85">
      <t>ナイヨウ</t>
    </rPh>
    <rPh sb="90" eb="91">
      <t>イタ</t>
    </rPh>
    <rPh sb="107" eb="108">
      <t>ゼン</t>
    </rPh>
    <rPh sb="108" eb="110">
      <t>キョウカ</t>
    </rPh>
    <rPh sb="111" eb="113">
      <t>コクゴ</t>
    </rPh>
    <rPh sb="114" eb="116">
      <t>サンスウ</t>
    </rPh>
    <rPh sb="117" eb="119">
      <t>スウガク</t>
    </rPh>
    <rPh sb="120" eb="122">
      <t>リカ</t>
    </rPh>
    <rPh sb="123" eb="125">
      <t>シャカイ</t>
    </rPh>
    <rPh sb="126" eb="128">
      <t>エイゴ</t>
    </rPh>
    <rPh sb="129" eb="131">
      <t>タイオウ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</si>
</sst>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0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4"/>
      <name val="ＭＳ Ｐゴシック"/>
      <family val="3"/>
      <charset val="128"/>
    </font>
    <font>
      <b/>
      <sz val="14"/>
      <color theme="1"/>
      <name val="Arial"/>
      <family val="2"/>
    </font>
    <font>
      <b/>
      <sz val="14"/>
      <color rgb="FF0000FF"/>
      <name val="Arial"/>
      <family val="2"/>
    </font>
    <font>
      <b/>
      <sz val="20"/>
      <color rgb="FF0000FF"/>
      <name val="Arial"/>
      <family val="2"/>
    </font>
    <font>
      <b/>
      <sz val="14"/>
      <color rgb="FFFF66CC"/>
      <name val="Arial"/>
      <family val="2"/>
    </font>
    <font>
      <b/>
      <sz val="14"/>
      <color rgb="FFFF0000"/>
      <name val="Arial"/>
      <family val="2"/>
    </font>
    <font>
      <b/>
      <sz val="24"/>
      <color rgb="FFFF0000"/>
      <name val="Arial"/>
      <family val="2"/>
    </font>
    <font>
      <b/>
      <sz val="14"/>
      <color rgb="FF00FF00"/>
      <name val="Arial"/>
      <family val="2"/>
    </font>
    <font>
      <b/>
      <sz val="20"/>
      <color theme="1"/>
      <name val="ＭＳ Ｐゴシック"/>
      <family val="3"/>
      <charset val="128"/>
      <scheme val="major"/>
    </font>
    <font>
      <b/>
      <sz val="22"/>
      <color theme="1"/>
      <name val="ＭＳ Ｐゴシック"/>
      <family val="3"/>
      <charset val="128"/>
      <scheme val="major"/>
    </font>
    <font>
      <b/>
      <sz val="28"/>
      <color rgb="FF0000FF"/>
      <name val="Arial"/>
      <family val="2"/>
    </font>
    <font>
      <b/>
      <sz val="14"/>
      <color rgb="FF00FF00"/>
      <name val="ＭＳ Ｐゴシック"/>
      <family val="3"/>
      <charset val="128"/>
    </font>
    <font>
      <b/>
      <sz val="24"/>
      <color rgb="FF00B050"/>
      <name val="Arial"/>
      <family val="2"/>
    </font>
    <font>
      <b/>
      <sz val="24"/>
      <color rgb="FF00B050"/>
      <name val="ＭＳ Ｐゴシック"/>
      <family val="3"/>
      <charset val="128"/>
    </font>
    <font>
      <b/>
      <sz val="14"/>
      <color rgb="FF00B050"/>
      <name val="Arial"/>
      <family val="2"/>
    </font>
    <font>
      <sz val="11"/>
      <color theme="1"/>
      <name val="AR P丸ゴシック体M"/>
      <family val="3"/>
      <charset val="128"/>
    </font>
    <font>
      <b/>
      <sz val="22"/>
      <color rgb="FF00B0F0"/>
      <name val="ＭＳ Ｐゴシック"/>
      <family val="3"/>
      <charset val="128"/>
    </font>
    <font>
      <b/>
      <sz val="14"/>
      <color rgb="FFFF66CC"/>
      <name val="Arial"/>
      <family val="3"/>
      <charset val="128"/>
    </font>
    <font>
      <b/>
      <sz val="14"/>
      <color theme="9" tint="0.79998168889431442"/>
      <name val="ＭＳ Ｐゴシック"/>
      <family val="3"/>
      <charset val="128"/>
      <scheme val="minor"/>
    </font>
    <font>
      <b/>
      <sz val="18"/>
      <color theme="5" tint="-0.249977111117893"/>
      <name val="Arial"/>
      <family val="2"/>
    </font>
    <font>
      <b/>
      <sz val="16"/>
      <color theme="5" tint="-0.249977111117893"/>
      <name val="Arial"/>
      <family val="2"/>
    </font>
    <font>
      <b/>
      <sz val="18"/>
      <color rgb="FF0000FF"/>
      <name val="ＭＳ Ｐゴシック"/>
      <family val="3"/>
      <charset val="128"/>
      <scheme val="minor"/>
    </font>
    <font>
      <b/>
      <sz val="24"/>
      <color rgb="FFFB6A5B"/>
      <name val="ＭＳ Ｐゴシック"/>
      <family val="3"/>
      <charset val="128"/>
    </font>
    <font>
      <b/>
      <sz val="24"/>
      <color rgb="FFFB6A5B"/>
      <name val="Arial"/>
      <family val="2"/>
    </font>
    <font>
      <b/>
      <sz val="28"/>
      <name val="HG丸ｺﾞｼｯｸM-PRO"/>
      <family val="3"/>
      <charset val="128"/>
    </font>
    <font>
      <b/>
      <sz val="14"/>
      <name val="ＭＳ Ｐゴシック"/>
      <family val="3"/>
      <charset val="128"/>
    </font>
    <font>
      <sz val="20"/>
      <color theme="3" tint="-0.249977111117893"/>
      <name val="Arial"/>
      <family val="2"/>
    </font>
    <font>
      <b/>
      <sz val="36"/>
      <color theme="4" tint="-0.499984740745262"/>
      <name val="Arial"/>
      <family val="2"/>
    </font>
    <font>
      <b/>
      <sz val="30"/>
      <color theme="4" tint="-0.499984740745262"/>
      <name val="ＭＳ Ｐゴシック"/>
      <family val="3"/>
      <charset val="128"/>
    </font>
    <font>
      <b/>
      <sz val="26"/>
      <color theme="3" tint="-0.249977111117893"/>
      <name val="ＭＳ Ｐゴシック"/>
      <family val="3"/>
      <charset val="128"/>
    </font>
    <font>
      <b/>
      <sz val="26"/>
      <color rgb="FFFB6A5B"/>
      <name val="ＭＳ Ｐゴシック"/>
      <family val="3"/>
      <charset val="128"/>
    </font>
    <font>
      <b/>
      <sz val="14"/>
      <color rgb="FFFB6A5B"/>
      <name val="Arial"/>
      <family val="2"/>
    </font>
    <font>
      <b/>
      <sz val="22"/>
      <color rgb="FFFB6A5B"/>
      <name val="Arial"/>
      <family val="3"/>
      <charset val="128"/>
    </font>
    <font>
      <b/>
      <sz val="14"/>
      <color rgb="FFFB6A5B"/>
      <name val="Arial"/>
      <family val="3"/>
      <charset val="128"/>
    </font>
    <font>
      <b/>
      <sz val="22"/>
      <color rgb="FF0000FF"/>
      <name val="ＭＳ Ｐゴシック"/>
      <family val="3"/>
      <charset val="128"/>
    </font>
    <font>
      <b/>
      <sz val="18"/>
      <name val="ＭＳ Ｐゴシック"/>
      <family val="3"/>
      <charset val="128"/>
      <scheme val="minor"/>
    </font>
    <font>
      <b/>
      <sz val="24"/>
      <color theme="1"/>
      <name val="ＭＳ Ｐゴシック"/>
      <family val="3"/>
      <charset val="128"/>
    </font>
    <font>
      <b/>
      <sz val="24"/>
      <color theme="1"/>
      <name val="Arial"/>
      <family val="2"/>
    </font>
    <font>
      <b/>
      <sz val="14"/>
      <color rgb="FFFD811B"/>
      <name val="Arial"/>
      <family val="2"/>
    </font>
    <font>
      <b/>
      <sz val="24"/>
      <color rgb="FFFD811B"/>
      <name val="Arial"/>
      <family val="2"/>
    </font>
    <font>
      <sz val="14"/>
      <color rgb="FFFD811B"/>
      <name val="ＭＳ Ｐゴシック"/>
      <family val="3"/>
      <charset val="128"/>
    </font>
    <font>
      <b/>
      <sz val="24"/>
      <color rgb="FFFD811B"/>
      <name val="ＭＳ Ｐゴシック"/>
      <family val="3"/>
      <charset val="128"/>
    </font>
    <font>
      <b/>
      <sz val="24"/>
      <color rgb="FFFB6A5B"/>
      <name val="Arial"/>
      <family val="3"/>
      <charset val="128"/>
    </font>
    <font>
      <b/>
      <sz val="22"/>
      <color rgb="FF00B050"/>
      <name val="Arial"/>
      <family val="2"/>
    </font>
    <font>
      <b/>
      <sz val="22"/>
      <color rgb="FF00B05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26"/>
      <color rgb="FFFF0000"/>
      <name val="ＭＳ Ｐゴシック"/>
      <family val="3"/>
      <charset val="128"/>
    </font>
    <font>
      <b/>
      <sz val="26"/>
      <color rgb="FFFF0000"/>
      <name val="ＭＳ Ｐゴシック"/>
      <family val="2"/>
      <charset val="128"/>
    </font>
    <font>
      <b/>
      <sz val="14"/>
      <color theme="1"/>
      <name val="ＭＳ Ｐゴシック"/>
      <family val="3"/>
      <charset val="128"/>
    </font>
    <font>
      <b/>
      <sz val="22"/>
      <color rgb="FFFF2F92"/>
      <name val="Arial"/>
      <family val="2"/>
    </font>
    <font>
      <b/>
      <sz val="22"/>
      <color rgb="FF0000FF"/>
      <name val="ＭＳ Ｐゴシック"/>
      <family val="2"/>
      <charset val="128"/>
    </font>
    <font>
      <b/>
      <sz val="18"/>
      <color rgb="FF0000FF"/>
      <name val="ＭＳ Ｐゴシック"/>
      <family val="2"/>
      <charset val="128"/>
      <scheme val="minor"/>
    </font>
    <font>
      <b/>
      <sz val="14"/>
      <color rgb="FFFF0000"/>
      <name val="ＭＳ Ｐゴシック"/>
      <family val="2"/>
      <charset val="128"/>
      <scheme val="minor"/>
    </font>
    <font>
      <b/>
      <sz val="18"/>
      <color theme="1"/>
      <name val="ＭＳ Ｐゴシック"/>
      <family val="2"/>
      <charset val="128"/>
    </font>
    <font>
      <b/>
      <sz val="22"/>
      <color rgb="FFFF2F92"/>
      <name val="ＭＳ Ｐ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000000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B050"/>
      </left>
      <right/>
      <top style="double">
        <color rgb="FF00B050"/>
      </top>
      <bottom/>
      <diagonal/>
    </border>
    <border>
      <left/>
      <right/>
      <top style="double">
        <color rgb="FF00B050"/>
      </top>
      <bottom/>
      <diagonal/>
    </border>
    <border>
      <left/>
      <right style="double">
        <color rgb="FF00B050"/>
      </right>
      <top style="double">
        <color rgb="FF00B050"/>
      </top>
      <bottom/>
      <diagonal/>
    </border>
    <border>
      <left style="double">
        <color rgb="FF00B050"/>
      </left>
      <right/>
      <top/>
      <bottom/>
      <diagonal/>
    </border>
    <border>
      <left/>
      <right style="double">
        <color rgb="FF00B050"/>
      </right>
      <top/>
      <bottom/>
      <diagonal/>
    </border>
    <border>
      <left style="double">
        <color rgb="FF00B050"/>
      </left>
      <right/>
      <top/>
      <bottom style="double">
        <color rgb="FF00B050"/>
      </bottom>
      <diagonal/>
    </border>
    <border>
      <left/>
      <right/>
      <top/>
      <bottom style="double">
        <color rgb="FF00B050"/>
      </bottom>
      <diagonal/>
    </border>
    <border>
      <left/>
      <right style="double">
        <color rgb="FF00B050"/>
      </right>
      <top/>
      <bottom style="double">
        <color rgb="FF00B050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183">
    <xf numFmtId="0" fontId="0" fillId="0" borderId="0" xfId="0"/>
    <xf numFmtId="0" fontId="2" fillId="0" borderId="0" xfId="1">
      <alignment vertical="center"/>
    </xf>
    <xf numFmtId="0" fontId="3" fillId="0" borderId="0" xfId="0" applyFont="1"/>
    <xf numFmtId="0" fontId="0" fillId="0" borderId="0" xfId="0" applyAlignment="1">
      <alignment horizontal="center"/>
    </xf>
    <xf numFmtId="0" fontId="19" fillId="0" borderId="0" xfId="0" applyFont="1"/>
    <xf numFmtId="0" fontId="13" fillId="2" borderId="1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52" fillId="2" borderId="24" xfId="0" applyFont="1" applyFill="1" applyBorder="1" applyAlignment="1">
      <alignment horizontal="center" vertical="center" wrapText="1"/>
    </xf>
    <xf numFmtId="0" fontId="35" fillId="2" borderId="24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 wrapText="1"/>
    </xf>
    <xf numFmtId="0" fontId="24" fillId="0" borderId="18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54" fillId="0" borderId="9" xfId="0" applyFont="1" applyFill="1" applyBorder="1" applyAlignment="1">
      <alignment horizontal="center" vertical="center" wrapText="1"/>
    </xf>
    <xf numFmtId="0" fontId="54" fillId="0" borderId="19" xfId="0" applyFont="1" applyFill="1" applyBorder="1" applyAlignment="1">
      <alignment horizontal="center" vertical="center" wrapText="1"/>
    </xf>
    <xf numFmtId="0" fontId="54" fillId="0" borderId="11" xfId="0" applyFont="1" applyFill="1" applyBorder="1" applyAlignment="1">
      <alignment horizontal="center" vertical="center" wrapText="1"/>
    </xf>
    <xf numFmtId="0" fontId="59" fillId="0" borderId="9" xfId="0" applyFont="1" applyFill="1" applyBorder="1" applyAlignment="1">
      <alignment horizontal="center" vertical="top" wrapText="1"/>
    </xf>
    <xf numFmtId="0" fontId="59" fillId="0" borderId="19" xfId="0" applyFont="1" applyFill="1" applyBorder="1" applyAlignment="1">
      <alignment horizontal="center" vertical="top" wrapText="1"/>
    </xf>
    <xf numFmtId="0" fontId="55" fillId="2" borderId="9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34" fillId="0" borderId="31" xfId="0" applyFont="1" applyBorder="1" applyAlignment="1">
      <alignment horizontal="center" vertical="center" wrapText="1"/>
    </xf>
    <xf numFmtId="0" fontId="35" fillId="0" borderId="27" xfId="0" applyFont="1" applyBorder="1" applyAlignment="1">
      <alignment horizontal="center" vertical="center"/>
    </xf>
    <xf numFmtId="0" fontId="35" fillId="0" borderId="32" xfId="0" applyFont="1" applyBorder="1" applyAlignment="1">
      <alignment horizontal="center" vertical="center"/>
    </xf>
    <xf numFmtId="0" fontId="34" fillId="2" borderId="13" xfId="0" applyFont="1" applyFill="1" applyBorder="1" applyAlignment="1">
      <alignment horizontal="center" vertical="center" wrapText="1"/>
    </xf>
    <xf numFmtId="0" fontId="35" fillId="2" borderId="15" xfId="0" applyFont="1" applyFill="1" applyBorder="1" applyAlignment="1">
      <alignment horizontal="center" vertical="center"/>
    </xf>
    <xf numFmtId="0" fontId="35" fillId="2" borderId="17" xfId="0" applyFont="1" applyFill="1" applyBorder="1" applyAlignment="1">
      <alignment horizontal="center" vertical="center"/>
    </xf>
    <xf numFmtId="0" fontId="40" fillId="0" borderId="3" xfId="0" applyFon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center" vertical="center"/>
    </xf>
    <xf numFmtId="0" fontId="41" fillId="0" borderId="5" xfId="0" applyFont="1" applyFill="1" applyBorder="1" applyAlignment="1">
      <alignment horizontal="center" vertical="center"/>
    </xf>
    <xf numFmtId="0" fontId="42" fillId="2" borderId="24" xfId="0" applyFont="1" applyFill="1" applyBorder="1" applyAlignment="1">
      <alignment horizontal="center" vertical="center" wrapText="1"/>
    </xf>
    <xf numFmtId="0" fontId="31" fillId="0" borderId="14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16" xfId="0" applyFont="1" applyFill="1" applyBorder="1" applyAlignment="1">
      <alignment horizontal="center" vertical="center"/>
    </xf>
    <xf numFmtId="0" fontId="31" fillId="0" borderId="21" xfId="0" applyFont="1" applyFill="1" applyBorder="1" applyAlignment="1">
      <alignment horizontal="center" vertical="center"/>
    </xf>
    <xf numFmtId="0" fontId="42" fillId="2" borderId="8" xfId="0" applyFont="1" applyFill="1" applyBorder="1" applyAlignment="1">
      <alignment horizontal="center" vertical="center" wrapText="1"/>
    </xf>
    <xf numFmtId="0" fontId="42" fillId="2" borderId="18" xfId="0" applyFont="1" applyFill="1" applyBorder="1" applyAlignment="1">
      <alignment horizontal="center" vertical="center" wrapText="1"/>
    </xf>
    <xf numFmtId="0" fontId="42" fillId="2" borderId="10" xfId="0" applyFont="1" applyFill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46" fillId="0" borderId="25" xfId="0" applyFont="1" applyBorder="1" applyAlignment="1">
      <alignment horizontal="center" vertical="center" wrapText="1"/>
    </xf>
    <xf numFmtId="0" fontId="46" fillId="0" borderId="26" xfId="0" applyFont="1" applyBorder="1" applyAlignment="1">
      <alignment horizontal="center" vertical="center" wrapText="1"/>
    </xf>
    <xf numFmtId="0" fontId="38" fillId="0" borderId="41" xfId="0" applyFont="1" applyBorder="1" applyAlignment="1">
      <alignment horizontal="center" vertical="center" wrapText="1"/>
    </xf>
    <xf numFmtId="0" fontId="37" fillId="0" borderId="25" xfId="0" applyFont="1" applyBorder="1" applyAlignment="1">
      <alignment horizontal="center" vertical="center" wrapText="1"/>
    </xf>
    <xf numFmtId="0" fontId="37" fillId="0" borderId="41" xfId="0" applyFont="1" applyBorder="1" applyAlignment="1">
      <alignment horizontal="center" vertical="center" wrapText="1"/>
    </xf>
    <xf numFmtId="0" fontId="27" fillId="0" borderId="26" xfId="0" applyFont="1" applyFill="1" applyBorder="1" applyAlignment="1">
      <alignment horizontal="center" vertical="center" wrapText="1"/>
    </xf>
    <xf numFmtId="0" fontId="35" fillId="0" borderId="25" xfId="0" applyFont="1" applyFill="1" applyBorder="1" applyAlignment="1">
      <alignment horizontal="center" vertical="center" wrapText="1"/>
    </xf>
    <xf numFmtId="0" fontId="35" fillId="0" borderId="26" xfId="0" applyFont="1" applyFill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top"/>
    </xf>
    <xf numFmtId="0" fontId="12" fillId="0" borderId="14" xfId="0" applyFont="1" applyBorder="1" applyAlignment="1">
      <alignment horizontal="center" vertical="top"/>
    </xf>
    <xf numFmtId="0" fontId="12" fillId="0" borderId="16" xfId="0" applyFont="1" applyBorder="1" applyAlignment="1">
      <alignment horizontal="center" vertical="top"/>
    </xf>
    <xf numFmtId="0" fontId="16" fillId="2" borderId="24" xfId="0" applyFont="1" applyFill="1" applyBorder="1" applyAlignment="1">
      <alignment horizontal="center" vertical="center" wrapText="1"/>
    </xf>
    <xf numFmtId="0" fontId="18" fillId="2" borderId="24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54" fillId="0" borderId="3" xfId="0" applyFont="1" applyFill="1" applyBorder="1" applyAlignment="1">
      <alignment horizontal="center" vertical="center" wrapText="1"/>
    </xf>
    <xf numFmtId="0" fontId="54" fillId="0" borderId="4" xfId="0" applyFont="1" applyFill="1" applyBorder="1" applyAlignment="1">
      <alignment horizontal="center" vertical="center" wrapText="1"/>
    </xf>
    <xf numFmtId="0" fontId="54" fillId="0" borderId="5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23" fillId="0" borderId="2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/>
    </xf>
    <xf numFmtId="0" fontId="23" fillId="0" borderId="21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7" fillId="2" borderId="24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26" fillId="0" borderId="9" xfId="0" applyFont="1" applyFill="1" applyBorder="1" applyAlignment="1">
      <alignment horizontal="center" vertical="center" wrapText="1"/>
    </xf>
    <xf numFmtId="0" fontId="35" fillId="0" borderId="19" xfId="0" applyFont="1" applyFill="1" applyBorder="1" applyAlignment="1">
      <alignment horizontal="center" vertical="center" wrapText="1"/>
    </xf>
    <xf numFmtId="0" fontId="35" fillId="0" borderId="11" xfId="0" applyFont="1" applyFill="1" applyBorder="1" applyAlignment="1">
      <alignment horizontal="center" vertical="center" wrapText="1"/>
    </xf>
    <xf numFmtId="0" fontId="51" fillId="2" borderId="8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35" fillId="0" borderId="19" xfId="0" applyFont="1" applyFill="1" applyBorder="1" applyAlignment="1">
      <alignment horizontal="center" vertical="center"/>
    </xf>
    <xf numFmtId="0" fontId="35" fillId="0" borderId="11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28" fillId="3" borderId="0" xfId="0" applyFont="1" applyFill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5" fillId="0" borderId="26" xfId="0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42" fillId="2" borderId="12" xfId="0" applyFont="1" applyFill="1" applyBorder="1" applyAlignment="1">
      <alignment horizontal="center" vertical="center" wrapText="1"/>
    </xf>
    <xf numFmtId="0" fontId="42" fillId="2" borderId="14" xfId="0" applyFont="1" applyFill="1" applyBorder="1" applyAlignment="1">
      <alignment horizontal="center" vertical="center"/>
    </xf>
    <xf numFmtId="0" fontId="42" fillId="2" borderId="16" xfId="0" applyFont="1" applyFill="1" applyBorder="1" applyAlignment="1">
      <alignment horizontal="center" vertical="center"/>
    </xf>
    <xf numFmtId="0" fontId="21" fillId="2" borderId="9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36" fillId="0" borderId="31" xfId="0" applyFont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/>
    </xf>
    <xf numFmtId="0" fontId="34" fillId="2" borderId="24" xfId="0" applyFont="1" applyFill="1" applyBorder="1" applyAlignment="1">
      <alignment horizontal="center" vertical="center" wrapText="1"/>
    </xf>
    <xf numFmtId="0" fontId="40" fillId="0" borderId="2" xfId="0" applyFont="1" applyFill="1" applyBorder="1" applyAlignment="1">
      <alignment horizontal="center" vertical="center" wrapText="1"/>
    </xf>
    <xf numFmtId="0" fontId="4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56" fillId="0" borderId="31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26" fillId="0" borderId="26" xfId="0" applyFont="1" applyFill="1" applyBorder="1" applyAlignment="1">
      <alignment horizontal="center" vertical="center" wrapText="1"/>
    </xf>
    <xf numFmtId="0" fontId="27" fillId="0" borderId="25" xfId="0" applyFont="1" applyFill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top"/>
    </xf>
    <xf numFmtId="0" fontId="12" fillId="0" borderId="40" xfId="0" applyFont="1" applyBorder="1" applyAlignment="1">
      <alignment horizontal="center" vertical="top"/>
    </xf>
    <xf numFmtId="0" fontId="6" fillId="2" borderId="33" xfId="0" applyFont="1" applyFill="1" applyBorder="1" applyAlignment="1">
      <alignment horizontal="center" vertical="center" wrapText="1"/>
    </xf>
    <xf numFmtId="0" fontId="21" fillId="2" borderId="34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33" fillId="0" borderId="24" xfId="0" applyFont="1" applyFill="1" applyBorder="1" applyAlignment="1">
      <alignment horizontal="center" vertical="center" wrapText="1"/>
    </xf>
    <xf numFmtId="0" fontId="30" fillId="0" borderId="24" xfId="0" applyFont="1" applyFill="1" applyBorder="1" applyAlignment="1">
      <alignment horizontal="center" vertical="center"/>
    </xf>
    <xf numFmtId="0" fontId="30" fillId="0" borderId="33" xfId="0" applyFont="1" applyFill="1" applyBorder="1" applyAlignment="1">
      <alignment horizontal="center" vertical="center"/>
    </xf>
    <xf numFmtId="0" fontId="21" fillId="0" borderId="34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41" fillId="0" borderId="35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21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33" fillId="2" borderId="24" xfId="0" applyFont="1" applyFill="1" applyBorder="1" applyAlignment="1">
      <alignment horizontal="center" vertical="center" wrapText="1"/>
    </xf>
    <xf numFmtId="0" fontId="30" fillId="2" borderId="24" xfId="0" applyFont="1" applyFill="1" applyBorder="1" applyAlignment="1">
      <alignment horizontal="center" vertical="center"/>
    </xf>
    <xf numFmtId="0" fontId="42" fillId="2" borderId="18" xfId="0" applyFont="1" applyFill="1" applyBorder="1" applyAlignment="1">
      <alignment horizontal="center" vertical="center"/>
    </xf>
    <xf numFmtId="0" fontId="42" fillId="2" borderId="10" xfId="0" applyFont="1" applyFill="1" applyBorder="1" applyAlignment="1">
      <alignment horizontal="center" vertical="center"/>
    </xf>
    <xf numFmtId="0" fontId="21" fillId="2" borderId="31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 wrapText="1"/>
    </xf>
    <xf numFmtId="0" fontId="32" fillId="0" borderId="14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9" fillId="2" borderId="41" xfId="0" applyFont="1" applyFill="1" applyBorder="1" applyAlignment="1">
      <alignment horizontal="center" vertical="center" wrapText="1"/>
    </xf>
    <xf numFmtId="0" fontId="28" fillId="3" borderId="42" xfId="0" applyFont="1" applyFill="1" applyBorder="1" applyAlignment="1">
      <alignment horizontal="center" vertical="center" wrapText="1"/>
    </xf>
    <xf numFmtId="0" fontId="28" fillId="3" borderId="43" xfId="0" applyFont="1" applyFill="1" applyBorder="1" applyAlignment="1">
      <alignment horizontal="center" vertical="center" wrapText="1"/>
    </xf>
    <xf numFmtId="0" fontId="28" fillId="3" borderId="44" xfId="0" applyFont="1" applyFill="1" applyBorder="1" applyAlignment="1">
      <alignment horizontal="center" vertical="center" wrapText="1"/>
    </xf>
    <xf numFmtId="0" fontId="28" fillId="3" borderId="45" xfId="0" applyFont="1" applyFill="1" applyBorder="1" applyAlignment="1">
      <alignment horizontal="center" vertical="center" wrapText="1"/>
    </xf>
    <xf numFmtId="0" fontId="28" fillId="3" borderId="46" xfId="0" applyFont="1" applyFill="1" applyBorder="1" applyAlignment="1">
      <alignment horizontal="center" vertical="center" wrapText="1"/>
    </xf>
    <xf numFmtId="0" fontId="28" fillId="3" borderId="47" xfId="0" applyFont="1" applyFill="1" applyBorder="1" applyAlignment="1">
      <alignment horizontal="center" vertical="center" wrapText="1"/>
    </xf>
    <xf numFmtId="0" fontId="28" fillId="3" borderId="48" xfId="0" applyFont="1" applyFill="1" applyBorder="1" applyAlignment="1">
      <alignment horizontal="center" vertical="center" wrapText="1"/>
    </xf>
    <xf numFmtId="0" fontId="28" fillId="3" borderId="49" xfId="0" applyFont="1" applyFill="1" applyBorder="1" applyAlignment="1">
      <alignment horizontal="center" vertical="center" wrapText="1"/>
    </xf>
  </cellXfs>
  <cellStyles count="2">
    <cellStyle name="標準" xfId="0" builtinId="0"/>
    <cellStyle name="標準 2 2" xfId="1" xr:uid="{00000000-0005-0000-0000-000001000000}"/>
  </cellStyles>
  <dxfs count="0"/>
  <tableStyles count="0" defaultTableStyle="TableStyleMedium2" defaultPivotStyle="PivotStyleMedium9"/>
  <colors>
    <mruColors>
      <color rgb="FF0000FF"/>
      <color rgb="FFFF2F92"/>
      <color rgb="FFFFFF66"/>
      <color rgb="FFF9C6A7"/>
      <color rgb="FFFD811B"/>
      <color rgb="FFFB6A5B"/>
      <color rgb="FFF6F6AA"/>
      <color rgb="FFB46CCA"/>
      <color rgb="FFF6AAD7"/>
      <color rgb="FFE196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14</xdr:row>
      <xdr:rowOff>0</xdr:rowOff>
    </xdr:from>
    <xdr:ext cx="790576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7154525" y="2057400"/>
          <a:ext cx="79057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11</xdr:col>
      <xdr:colOff>0</xdr:colOff>
      <xdr:row>14</xdr:row>
      <xdr:rowOff>0</xdr:rowOff>
    </xdr:from>
    <xdr:ext cx="790576" cy="28020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7154525" y="2057400"/>
          <a:ext cx="790576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l"/>
          <a:endParaRPr kumimoji="1" lang="en-US" altLang="ja-JP" sz="600"/>
        </a:p>
        <a:p>
          <a:pPr algn="ctr"/>
          <a:endParaRPr kumimoji="1" lang="en-US" altLang="ja-JP" sz="600"/>
        </a:p>
      </xdr:txBody>
    </xdr:sp>
    <xdr:clientData/>
  </xdr:oneCellAnchor>
  <xdr:oneCellAnchor>
    <xdr:from>
      <xdr:col>11</xdr:col>
      <xdr:colOff>0</xdr:colOff>
      <xdr:row>14</xdr:row>
      <xdr:rowOff>0</xdr:rowOff>
    </xdr:from>
    <xdr:ext cx="790576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7154525" y="2057400"/>
          <a:ext cx="79057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11</xdr:col>
      <xdr:colOff>0</xdr:colOff>
      <xdr:row>14</xdr:row>
      <xdr:rowOff>0</xdr:rowOff>
    </xdr:from>
    <xdr:ext cx="790576" cy="28020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7154525" y="2057400"/>
          <a:ext cx="790576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l"/>
          <a:endParaRPr kumimoji="1" lang="en-US" altLang="ja-JP" sz="600"/>
        </a:p>
        <a:p>
          <a:pPr algn="ctr"/>
          <a:endParaRPr kumimoji="1" lang="en-US" altLang="ja-JP" sz="600"/>
        </a:p>
      </xdr:txBody>
    </xdr:sp>
    <xdr:clientData/>
  </xdr:oneCellAnchor>
  <xdr:oneCellAnchor>
    <xdr:from>
      <xdr:col>11</xdr:col>
      <xdr:colOff>0</xdr:colOff>
      <xdr:row>14</xdr:row>
      <xdr:rowOff>0</xdr:rowOff>
    </xdr:from>
    <xdr:ext cx="790576" cy="280205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7154525" y="2057400"/>
          <a:ext cx="790576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l"/>
          <a:endParaRPr kumimoji="1" lang="en-US" altLang="ja-JP" sz="600"/>
        </a:p>
        <a:p>
          <a:pPr algn="ctr"/>
          <a:endParaRPr kumimoji="1" lang="en-US" altLang="ja-JP" sz="600"/>
        </a:p>
      </xdr:txBody>
    </xdr:sp>
    <xdr:clientData/>
  </xdr:oneCellAnchor>
  <xdr:oneCellAnchor>
    <xdr:from>
      <xdr:col>11</xdr:col>
      <xdr:colOff>0</xdr:colOff>
      <xdr:row>14</xdr:row>
      <xdr:rowOff>0</xdr:rowOff>
    </xdr:from>
    <xdr:ext cx="790576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7154525" y="2057400"/>
          <a:ext cx="79057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11</xdr:col>
      <xdr:colOff>0</xdr:colOff>
      <xdr:row>14</xdr:row>
      <xdr:rowOff>0</xdr:rowOff>
    </xdr:from>
    <xdr:ext cx="790576" cy="280205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7154525" y="2057400"/>
          <a:ext cx="790576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l"/>
          <a:endParaRPr kumimoji="1" lang="en-US" altLang="ja-JP" sz="600"/>
        </a:p>
        <a:p>
          <a:pPr algn="ctr"/>
          <a:endParaRPr kumimoji="1" lang="en-US" altLang="ja-JP" sz="600"/>
        </a:p>
      </xdr:txBody>
    </xdr:sp>
    <xdr:clientData/>
  </xdr:oneCellAnchor>
  <xdr:oneCellAnchor>
    <xdr:from>
      <xdr:col>11</xdr:col>
      <xdr:colOff>57150</xdr:colOff>
      <xdr:row>14</xdr:row>
      <xdr:rowOff>0</xdr:rowOff>
    </xdr:from>
    <xdr:ext cx="800101" cy="26456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17211675" y="2057400"/>
          <a:ext cx="8001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11</xdr:col>
      <xdr:colOff>0</xdr:colOff>
      <xdr:row>14</xdr:row>
      <xdr:rowOff>0</xdr:rowOff>
    </xdr:from>
    <xdr:ext cx="790576" cy="280205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17154525" y="2057400"/>
          <a:ext cx="790576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l"/>
          <a:endParaRPr kumimoji="1" lang="en-US" altLang="ja-JP" sz="600"/>
        </a:p>
        <a:p>
          <a:pPr algn="ctr"/>
          <a:endParaRPr kumimoji="1" lang="en-US" altLang="ja-JP" sz="600"/>
        </a:p>
      </xdr:txBody>
    </xdr:sp>
    <xdr:clientData/>
  </xdr:oneCellAnchor>
  <xdr:oneCellAnchor>
    <xdr:from>
      <xdr:col>11</xdr:col>
      <xdr:colOff>0</xdr:colOff>
      <xdr:row>14</xdr:row>
      <xdr:rowOff>0</xdr:rowOff>
    </xdr:from>
    <xdr:ext cx="790576" cy="280205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17154525" y="2057400"/>
          <a:ext cx="790576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l"/>
          <a:endParaRPr kumimoji="1" lang="en-US" altLang="ja-JP" sz="600"/>
        </a:p>
        <a:p>
          <a:pPr algn="ctr"/>
          <a:endParaRPr kumimoji="1" lang="en-US" altLang="ja-JP" sz="600"/>
        </a:p>
      </xdr:txBody>
    </xdr:sp>
    <xdr:clientData/>
  </xdr:oneCellAnchor>
  <xdr:oneCellAnchor>
    <xdr:from>
      <xdr:col>11</xdr:col>
      <xdr:colOff>0</xdr:colOff>
      <xdr:row>14</xdr:row>
      <xdr:rowOff>0</xdr:rowOff>
    </xdr:from>
    <xdr:ext cx="790576" cy="26456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7154525" y="2057400"/>
          <a:ext cx="79057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11</xdr:col>
      <xdr:colOff>0</xdr:colOff>
      <xdr:row>14</xdr:row>
      <xdr:rowOff>0</xdr:rowOff>
    </xdr:from>
    <xdr:ext cx="790576" cy="26456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17154525" y="2057400"/>
          <a:ext cx="79057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11</xdr:col>
      <xdr:colOff>0</xdr:colOff>
      <xdr:row>14</xdr:row>
      <xdr:rowOff>0</xdr:rowOff>
    </xdr:from>
    <xdr:ext cx="790576" cy="280205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7154525" y="2057400"/>
          <a:ext cx="790576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endParaRPr kumimoji="1" lang="en-US" altLang="ja-JP" sz="600"/>
        </a:p>
        <a:p>
          <a:pPr algn="ctr"/>
          <a:endParaRPr kumimoji="1" lang="en-US" altLang="ja-JP" sz="600"/>
        </a:p>
      </xdr:txBody>
    </xdr:sp>
    <xdr:clientData/>
  </xdr:oneCellAnchor>
  <xdr:oneCellAnchor>
    <xdr:from>
      <xdr:col>11</xdr:col>
      <xdr:colOff>0</xdr:colOff>
      <xdr:row>14</xdr:row>
      <xdr:rowOff>0</xdr:rowOff>
    </xdr:from>
    <xdr:ext cx="790576" cy="26456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7154525" y="2057400"/>
          <a:ext cx="79057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11</xdr:col>
      <xdr:colOff>0</xdr:colOff>
      <xdr:row>14</xdr:row>
      <xdr:rowOff>0</xdr:rowOff>
    </xdr:from>
    <xdr:ext cx="790576" cy="280205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17154525" y="2057400"/>
          <a:ext cx="790576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endParaRPr kumimoji="1" lang="en-US" altLang="ja-JP" sz="600"/>
        </a:p>
        <a:p>
          <a:pPr algn="ctr"/>
          <a:endParaRPr kumimoji="1" lang="en-US" altLang="ja-JP" sz="600"/>
        </a:p>
      </xdr:txBody>
    </xdr:sp>
    <xdr:clientData/>
  </xdr:oneCellAnchor>
  <xdr:oneCellAnchor>
    <xdr:from>
      <xdr:col>10</xdr:col>
      <xdr:colOff>0</xdr:colOff>
      <xdr:row>14</xdr:row>
      <xdr:rowOff>0</xdr:rowOff>
    </xdr:from>
    <xdr:ext cx="790576" cy="264560"/>
    <xdr:sp macro="" textlink="">
      <xdr:nvSpPr>
        <xdr:cNvPr id="17" name="テキスト ボックス 115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15039975" y="2057400"/>
          <a:ext cx="79057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14</xdr:row>
      <xdr:rowOff>0</xdr:rowOff>
    </xdr:from>
    <xdr:ext cx="790576" cy="264560"/>
    <xdr:sp macro="" textlink="">
      <xdr:nvSpPr>
        <xdr:cNvPr id="18" name="テキスト ボックス 115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5039975" y="2057400"/>
          <a:ext cx="79057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11</xdr:col>
      <xdr:colOff>0</xdr:colOff>
      <xdr:row>14</xdr:row>
      <xdr:rowOff>0</xdr:rowOff>
    </xdr:from>
    <xdr:ext cx="790576" cy="280205"/>
    <xdr:sp macro="" textlink="">
      <xdr:nvSpPr>
        <xdr:cNvPr id="19" name="テキスト ボックス 1253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7154525" y="2057400"/>
          <a:ext cx="790576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l"/>
          <a:endParaRPr kumimoji="1" lang="en-US" altLang="ja-JP" sz="600"/>
        </a:p>
        <a:p>
          <a:pPr algn="ctr"/>
          <a:endParaRPr kumimoji="1" lang="en-US" altLang="ja-JP" sz="600"/>
        </a:p>
      </xdr:txBody>
    </xdr:sp>
    <xdr:clientData/>
  </xdr:oneCellAnchor>
  <xdr:oneCellAnchor>
    <xdr:from>
      <xdr:col>11</xdr:col>
      <xdr:colOff>0</xdr:colOff>
      <xdr:row>14</xdr:row>
      <xdr:rowOff>0</xdr:rowOff>
    </xdr:from>
    <xdr:ext cx="790576" cy="280205"/>
    <xdr:sp macro="" textlink="">
      <xdr:nvSpPr>
        <xdr:cNvPr id="20" name="テキスト ボックス 1274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17154525" y="2057400"/>
          <a:ext cx="790576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l"/>
          <a:endParaRPr kumimoji="1" lang="en-US" altLang="ja-JP" sz="600"/>
        </a:p>
        <a:p>
          <a:pPr algn="ctr"/>
          <a:endParaRPr kumimoji="1" lang="en-US" altLang="ja-JP" sz="600"/>
        </a:p>
      </xdr:txBody>
    </xdr:sp>
    <xdr:clientData/>
  </xdr:oneCellAnchor>
  <xdr:oneCellAnchor>
    <xdr:from>
      <xdr:col>10</xdr:col>
      <xdr:colOff>0</xdr:colOff>
      <xdr:row>14</xdr:row>
      <xdr:rowOff>0</xdr:rowOff>
    </xdr:from>
    <xdr:ext cx="790576" cy="264560"/>
    <xdr:sp macro="" textlink="">
      <xdr:nvSpPr>
        <xdr:cNvPr id="21" name="テキスト ボックス 1431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15039975" y="2057400"/>
          <a:ext cx="79057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337038</xdr:colOff>
      <xdr:row>14</xdr:row>
      <xdr:rowOff>0</xdr:rowOff>
    </xdr:from>
    <xdr:ext cx="184731" cy="26456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15377013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14</xdr:row>
      <xdr:rowOff>0</xdr:rowOff>
    </xdr:from>
    <xdr:ext cx="790576" cy="264560"/>
    <xdr:sp macro="" textlink="">
      <xdr:nvSpPr>
        <xdr:cNvPr id="23" name="テキスト ボックス 1155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15039975" y="2057400"/>
          <a:ext cx="79057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14</xdr:row>
      <xdr:rowOff>0</xdr:rowOff>
    </xdr:from>
    <xdr:ext cx="790576" cy="264560"/>
    <xdr:sp macro="" textlink="">
      <xdr:nvSpPr>
        <xdr:cNvPr id="24" name="テキスト ボックス 1431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15039975" y="2057400"/>
          <a:ext cx="79057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14</xdr:row>
      <xdr:rowOff>0</xdr:rowOff>
    </xdr:from>
    <xdr:ext cx="790576" cy="264560"/>
    <xdr:sp macro="" textlink="">
      <xdr:nvSpPr>
        <xdr:cNvPr id="25" name="テキスト ボックス 1155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15039975" y="2057400"/>
          <a:ext cx="79057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14</xdr:row>
      <xdr:rowOff>0</xdr:rowOff>
    </xdr:from>
    <xdr:ext cx="790576" cy="264560"/>
    <xdr:sp macro="" textlink="">
      <xdr:nvSpPr>
        <xdr:cNvPr id="26" name="テキスト ボックス 1431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15039975" y="2057400"/>
          <a:ext cx="79057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14</xdr:row>
      <xdr:rowOff>0</xdr:rowOff>
    </xdr:from>
    <xdr:ext cx="790576" cy="264560"/>
    <xdr:sp macro="" textlink="">
      <xdr:nvSpPr>
        <xdr:cNvPr id="27" name="テキスト ボックス 1155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15039975" y="2057400"/>
          <a:ext cx="79057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14</xdr:row>
      <xdr:rowOff>0</xdr:rowOff>
    </xdr:from>
    <xdr:ext cx="790576" cy="264560"/>
    <xdr:sp macro="" textlink="">
      <xdr:nvSpPr>
        <xdr:cNvPr id="28" name="テキスト ボックス 1431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/>
      </xdr:nvSpPr>
      <xdr:spPr>
        <a:xfrm>
          <a:off x="15039975" y="2057400"/>
          <a:ext cx="79057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421820</xdr:colOff>
      <xdr:row>14</xdr:row>
      <xdr:rowOff>0</xdr:rowOff>
    </xdr:from>
    <xdr:ext cx="368755" cy="217714"/>
    <xdr:sp macro="" textlink="">
      <xdr:nvSpPr>
        <xdr:cNvPr id="30" name="テキスト ボックス 1431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/>
      </xdr:nvSpPr>
      <xdr:spPr>
        <a:xfrm>
          <a:off x="15461795" y="2057400"/>
          <a:ext cx="368755" cy="2177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ja-JP" altLang="en-US"/>
        </a:p>
      </xdr:txBody>
    </xdr:sp>
    <xdr:clientData/>
  </xdr:oneCellAnchor>
  <xdr:twoCellAnchor>
    <xdr:from>
      <xdr:col>3</xdr:col>
      <xdr:colOff>772922</xdr:colOff>
      <xdr:row>9</xdr:row>
      <xdr:rowOff>73634</xdr:rowOff>
    </xdr:from>
    <xdr:to>
      <xdr:col>5</xdr:col>
      <xdr:colOff>439442</xdr:colOff>
      <xdr:row>16</xdr:row>
      <xdr:rowOff>132635</xdr:rowOff>
    </xdr:to>
    <xdr:sp macro="" textlink="">
      <xdr:nvSpPr>
        <xdr:cNvPr id="33" name="Text Box 5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>
          <a:spLocks noChangeArrowheads="1"/>
        </xdr:cNvSpPr>
      </xdr:nvSpPr>
      <xdr:spPr bwMode="auto">
        <a:xfrm>
          <a:off x="4504768" y="2340096"/>
          <a:ext cx="4863751" cy="2051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l" rtl="0">
            <a:defRPr sz="1000"/>
          </a:pPr>
          <a:r>
            <a:rPr lang="ja-JP" altLang="en-US" sz="3200" b="1" i="0" u="none" strike="noStrike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アミック余戸校</a:t>
          </a:r>
          <a:endParaRPr lang="en-US" altLang="ja-JP" sz="3200" b="1" i="0" u="none" strike="noStrike" baseline="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 rtl="0">
            <a:defRPr sz="1000"/>
          </a:pPr>
          <a:r>
            <a:rPr lang="ja-JP" altLang="en-US" sz="32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☎　</a:t>
          </a:r>
          <a:r>
            <a:rPr lang="en-US" altLang="ja-JP" sz="3200" b="0" i="0" u="none" strike="noStrike" baseline="0">
              <a:solidFill>
                <a:schemeClr val="tx1"/>
              </a:solidFill>
              <a:latin typeface="Calibri"/>
            </a:rPr>
            <a:t>089-973-2076</a:t>
          </a:r>
        </a:p>
        <a:p>
          <a:pPr algn="l" rtl="0">
            <a:defRPr sz="1000"/>
          </a:pPr>
          <a:r>
            <a:rPr lang="ja-JP" altLang="en-US" sz="3200" b="0" i="0" u="none" strike="noStrike" baseline="0">
              <a:solidFill>
                <a:schemeClr val="tx1"/>
              </a:solidFill>
              <a:latin typeface="Calibri"/>
            </a:rPr>
            <a:t>✉   </a:t>
          </a:r>
          <a:r>
            <a:rPr lang="en-US" altLang="ja-JP" sz="3200" b="0" i="0" u="none" strike="noStrike" baseline="0">
              <a:solidFill>
                <a:schemeClr val="tx1"/>
              </a:solidFill>
              <a:latin typeface="Calibri"/>
            </a:rPr>
            <a:t>yogo@enjoy-amic.com</a:t>
          </a:r>
        </a:p>
      </xdr:txBody>
    </xdr:sp>
    <xdr:clientData/>
  </xdr:twoCellAnchor>
  <xdr:twoCellAnchor>
    <xdr:from>
      <xdr:col>6</xdr:col>
      <xdr:colOff>90483</xdr:colOff>
      <xdr:row>1</xdr:row>
      <xdr:rowOff>57153</xdr:rowOff>
    </xdr:from>
    <xdr:to>
      <xdr:col>7</xdr:col>
      <xdr:colOff>576257</xdr:colOff>
      <xdr:row>10</xdr:row>
      <xdr:rowOff>142879</xdr:rowOff>
    </xdr:to>
    <xdr:sp macro="" textlink="">
      <xdr:nvSpPr>
        <xdr:cNvPr id="34" name="Text Box 5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>
          <a:spLocks noChangeArrowheads="1"/>
        </xdr:cNvSpPr>
      </xdr:nvSpPr>
      <xdr:spPr bwMode="auto">
        <a:xfrm>
          <a:off x="11622083" y="243420"/>
          <a:ext cx="3076574" cy="243945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100"/>
            </a:lnSpc>
            <a:defRPr sz="1000"/>
          </a:pPr>
          <a:endParaRPr lang="en-US" altLang="ja-JP" sz="1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≪おとなグループレッスン≫</a:t>
          </a:r>
          <a:endParaRPr lang="en-US" altLang="ja-JP" sz="1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en-US" altLang="ja-JP" sz="1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en-US" altLang="ja-JP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8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          </a:t>
          </a:r>
          <a:r>
            <a:rPr lang="en-US" altLang="ja-JP" sz="18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A</a:t>
          </a:r>
          <a:r>
            <a:rPr lang="ja-JP" altLang="en-US" sz="1800" b="1" i="0" u="none" strike="noStrike" baseline="0">
              <a:solidFill>
                <a:srgbClr val="333399"/>
              </a:solidFill>
              <a:latin typeface="ＭＳ Ｐゴシック"/>
              <a:ea typeface="ＭＳ Ｐゴシック"/>
            </a:rPr>
            <a:t>　　   </a:t>
          </a:r>
          <a:r>
            <a:rPr lang="ja-JP" altLang="en-US" sz="1800" b="1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上級</a:t>
          </a:r>
          <a:endParaRPr lang="en-US" altLang="ja-JP" sz="1800" b="1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en-US" altLang="ja-JP" sz="1800" b="1" i="0" u="none" strike="noStrike" baseline="0">
            <a:solidFill>
              <a:srgbClr val="333399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8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          </a:t>
          </a:r>
          <a:r>
            <a:rPr lang="en-US" altLang="ja-JP" sz="18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B</a:t>
          </a:r>
        </a:p>
        <a:p>
          <a:pPr algn="l" rtl="0">
            <a:lnSpc>
              <a:spcPts val="1100"/>
            </a:lnSpc>
            <a:defRPr sz="1000"/>
          </a:pPr>
          <a:r>
            <a:rPr lang="en-US" altLang="ja-JP" sz="18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          </a:t>
          </a:r>
        </a:p>
        <a:p>
          <a:pPr algn="l" rtl="0">
            <a:lnSpc>
              <a:spcPts val="1100"/>
            </a:lnSpc>
            <a:defRPr sz="1000"/>
          </a:pPr>
          <a:r>
            <a:rPr lang="en-US" altLang="ja-JP" sz="18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          C</a:t>
          </a:r>
        </a:p>
        <a:p>
          <a:pPr algn="l" rtl="0">
            <a:lnSpc>
              <a:spcPts val="1100"/>
            </a:lnSpc>
            <a:defRPr sz="1000"/>
          </a:pPr>
          <a:r>
            <a:rPr lang="en-US" altLang="ja-JP" sz="18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  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8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          Ｄ</a:t>
          </a:r>
          <a:endParaRPr lang="en-US" altLang="ja-JP" sz="18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en-US" altLang="ja-JP" sz="18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  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8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          Ｅ 　 </a:t>
          </a:r>
          <a:r>
            <a:rPr lang="ja-JP" altLang="en-US" sz="1800" b="1" i="0" u="none" strike="noStrike" baseline="0">
              <a:solidFill>
                <a:srgbClr val="FF00FF"/>
              </a:solidFill>
              <a:latin typeface="ＭＳ Ｐゴシック"/>
              <a:ea typeface="ＭＳ Ｐゴシック"/>
            </a:rPr>
            <a:t>　 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入門</a:t>
          </a:r>
          <a:endParaRPr lang="ja-JP" altLang="en-US" sz="1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endParaRPr lang="ja-JP" altLang="en-US" sz="1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735806</xdr:colOff>
      <xdr:row>1</xdr:row>
      <xdr:rowOff>107156</xdr:rowOff>
    </xdr:from>
    <xdr:to>
      <xdr:col>10</xdr:col>
      <xdr:colOff>152400</xdr:colOff>
      <xdr:row>12</xdr:row>
      <xdr:rowOff>57150</xdr:rowOff>
    </xdr:to>
    <xdr:sp macro="" textlink="">
      <xdr:nvSpPr>
        <xdr:cNvPr id="35" name="Text Box 7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>
          <a:spLocks noChangeArrowheads="1"/>
        </xdr:cNvSpPr>
      </xdr:nvSpPr>
      <xdr:spPr bwMode="auto">
        <a:xfrm>
          <a:off x="13956506" y="278606"/>
          <a:ext cx="5588794" cy="29979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8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≪子ども～学生グループレッスン≫</a:t>
          </a:r>
          <a:endParaRPr lang="en-US" altLang="ja-JP" sz="1800" b="1" i="0" strike="noStrike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en-US" altLang="ja-JP" sz="1800" b="1" i="0" strike="noStrike">
              <a:solidFill>
                <a:srgbClr val="FF0000"/>
              </a:solidFill>
              <a:latin typeface="ＭＳ Ｐゴシック"/>
              <a:ea typeface="ＭＳ Ｐゴシック"/>
            </a:rPr>
            <a:t>WOW</a:t>
          </a:r>
          <a:r>
            <a:rPr lang="ja-JP" altLang="en-US" sz="1800" b="1" i="0" strike="noStrike">
              <a:solidFill>
                <a:srgbClr val="FF0000"/>
              </a:solidFill>
              <a:latin typeface="ＭＳ Ｐゴシック"/>
              <a:ea typeface="ＭＳ Ｐゴシック"/>
            </a:rPr>
            <a:t>１</a:t>
          </a:r>
          <a:r>
            <a:rPr lang="en-US" altLang="ja-JP" sz="1800" b="1" i="0" strike="noStrike">
              <a:solidFill>
                <a:srgbClr val="FF0000"/>
              </a:solidFill>
              <a:latin typeface="ＭＳ Ｐゴシック"/>
              <a:ea typeface="ＭＳ Ｐゴシック"/>
            </a:rPr>
            <a:t>-</a:t>
          </a:r>
          <a:r>
            <a:rPr lang="ja-JP" altLang="en-US" sz="1800" b="1" i="0" strike="noStrike">
              <a:solidFill>
                <a:srgbClr val="FF0000"/>
              </a:solidFill>
              <a:latin typeface="ＭＳ Ｐゴシック"/>
              <a:ea typeface="ＭＳ Ｐゴシック"/>
            </a:rPr>
            <a:t>３  </a:t>
          </a:r>
          <a:r>
            <a:rPr lang="ja-JP" altLang="en-US" sz="18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・・・ </a:t>
          </a:r>
          <a:r>
            <a:rPr lang="ja-JP" altLang="en-US" sz="18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園児対象</a:t>
          </a:r>
          <a:endParaRPr lang="en-US" altLang="ja-JP" sz="1800" b="1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en-US" altLang="ja-JP" sz="1800" b="1" i="0" strike="noStrike">
              <a:solidFill>
                <a:srgbClr val="FF0000"/>
              </a:solidFill>
              <a:latin typeface="ＭＳ Ｐゴシック"/>
              <a:ea typeface="ＭＳ Ｐゴシック"/>
              <a:cs typeface="Times New Roman"/>
            </a:rPr>
            <a:t>STARTER</a:t>
          </a:r>
          <a:r>
            <a:rPr lang="ja-JP" altLang="en-US" sz="1800" b="1" i="0" strike="noStrike" baseline="0">
              <a:solidFill>
                <a:srgbClr val="000000"/>
              </a:solidFill>
              <a:latin typeface="ＭＳ Ｐゴシック"/>
              <a:ea typeface="ＭＳ Ｐゴシック"/>
              <a:cs typeface="Times New Roman"/>
            </a:rPr>
            <a:t>  </a:t>
          </a:r>
          <a:r>
            <a:rPr lang="ja-JP" altLang="ja-JP" sz="1800" b="1" i="0">
              <a:effectLst/>
              <a:latin typeface="+mn-lt"/>
              <a:ea typeface="+mn-ea"/>
              <a:cs typeface="+mn-cs"/>
            </a:rPr>
            <a:t>・・・</a:t>
          </a:r>
          <a:r>
            <a:rPr lang="en-US" altLang="ja-JP" sz="1800" b="1" i="0"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800" b="1" i="0">
              <a:effectLst/>
              <a:latin typeface="+mn-lt"/>
              <a:ea typeface="+mn-ea"/>
              <a:cs typeface="+mn-cs"/>
            </a:rPr>
            <a:t>小学生初心者対象</a:t>
          </a:r>
          <a:endParaRPr lang="ja-JP" altLang="en-US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altLang="ja-JP" sz="1800" b="1" i="0" strike="noStrike">
              <a:solidFill>
                <a:srgbClr val="FF0000"/>
              </a:solidFill>
              <a:latin typeface="ＭＳ Ｐゴシック"/>
              <a:ea typeface="ＭＳ Ｐゴシック"/>
            </a:rPr>
            <a:t>EOW</a:t>
          </a:r>
          <a:r>
            <a:rPr lang="ja-JP" altLang="en-US" sz="1800" b="1" i="0" strike="noStrike">
              <a:solidFill>
                <a:srgbClr val="FF0000"/>
              </a:solidFill>
              <a:latin typeface="ＭＳ Ｐゴシック"/>
              <a:ea typeface="ＭＳ Ｐゴシック"/>
            </a:rPr>
            <a:t>１</a:t>
          </a:r>
          <a:r>
            <a:rPr lang="en-US" altLang="ja-JP" sz="1800" b="1" i="0" strike="noStrike">
              <a:solidFill>
                <a:srgbClr val="FF0000"/>
              </a:solidFill>
              <a:latin typeface="ＭＳ Ｐゴシック"/>
              <a:ea typeface="ＭＳ Ｐゴシック"/>
            </a:rPr>
            <a:t>-</a:t>
          </a:r>
          <a:r>
            <a:rPr lang="ja-JP" altLang="en-US" sz="1800" b="1" i="0" strike="noStrike">
              <a:solidFill>
                <a:srgbClr val="FF0000"/>
              </a:solidFill>
              <a:latin typeface="ＭＳ Ｐゴシック"/>
              <a:ea typeface="ＭＳ Ｐゴシック"/>
            </a:rPr>
            <a:t>２　 </a:t>
          </a:r>
          <a:r>
            <a:rPr lang="ja-JP" altLang="en-US" sz="18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・・・</a:t>
          </a:r>
          <a:r>
            <a:rPr lang="ja-JP" altLang="en-US" sz="1800" b="1" i="0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 </a:t>
          </a:r>
          <a:r>
            <a:rPr lang="ja-JP" altLang="en-US" sz="18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小学生低学年対象</a:t>
          </a:r>
          <a:endParaRPr lang="ja-JP" altLang="en-US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altLang="ja-JP" sz="1800" b="1" i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EOW</a:t>
          </a:r>
          <a:r>
            <a:rPr lang="ja-JP" altLang="en-US" sz="18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３</a:t>
          </a:r>
          <a:r>
            <a:rPr lang="en-US" altLang="ja-JP" sz="1800" b="1" i="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-</a:t>
          </a:r>
          <a:r>
            <a:rPr lang="ja-JP" altLang="en-US" sz="18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６</a:t>
          </a:r>
          <a:r>
            <a:rPr lang="ja-JP" altLang="en-US" sz="1800" b="1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800" b="1" i="0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 </a:t>
          </a:r>
          <a:r>
            <a:rPr lang="ja-JP" altLang="en-US" sz="18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・・・ 小学生高学年・中学生対象</a:t>
          </a:r>
          <a:endParaRPr lang="en-US" altLang="ja-JP" sz="1800" b="1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800" b="1" i="0" strike="noStrike">
              <a:solidFill>
                <a:srgbClr val="FF0000"/>
              </a:solidFill>
              <a:effectLst/>
              <a:latin typeface="ＭＳ Ｐゴシック"/>
              <a:ea typeface="ＭＳ Ｐゴシック"/>
              <a:cs typeface="+mn-cs"/>
            </a:rPr>
            <a:t>中高生英会話コース</a:t>
          </a:r>
          <a:endParaRPr lang="en-US" altLang="ja-JP" sz="1800" b="1" i="0" strike="noStrike">
            <a:solidFill>
              <a:srgbClr val="FF0000"/>
            </a:solidFill>
            <a:effectLst/>
            <a:latin typeface="ＭＳ Ｐゴシック"/>
            <a:ea typeface="ＭＳ Ｐゴシック"/>
            <a:cs typeface="+mn-cs"/>
          </a:endParaRPr>
        </a:p>
        <a:p>
          <a:pPr algn="l" rtl="0">
            <a:defRPr sz="1000"/>
          </a:pPr>
          <a:endParaRPr lang="ja-JP" altLang="en-US" sz="800" b="1" i="0" strike="noStrike">
            <a:solidFill>
              <a:srgbClr val="FF0000"/>
            </a:solidFill>
            <a:effectLst/>
            <a:latin typeface="ＭＳ Ｐゴシック"/>
            <a:ea typeface="ＭＳ Ｐゴシック"/>
            <a:cs typeface="+mn-cs"/>
          </a:endParaRPr>
        </a:p>
        <a:p>
          <a:pPr algn="l" rtl="0">
            <a:defRPr sz="1000"/>
          </a:pPr>
          <a:r>
            <a:rPr lang="ja-JP" altLang="ja-JP" sz="1800" b="1" i="0">
              <a:solidFill>
                <a:srgbClr val="00B0F0"/>
              </a:solidFill>
              <a:effectLst/>
              <a:latin typeface="+mn-lt"/>
              <a:ea typeface="+mn-ea"/>
              <a:cs typeface="+mn-cs"/>
            </a:rPr>
            <a:t>英語塾</a:t>
          </a:r>
          <a:r>
            <a:rPr lang="ja-JP" altLang="en-US" sz="1800" b="1" i="0" u="none" strike="noStrike" baseline="0">
              <a:solidFill>
                <a:srgbClr val="00B0F0"/>
              </a:solidFill>
              <a:uFill>
                <a:solidFill>
                  <a:srgbClr val="0000FF"/>
                </a:solidFill>
              </a:uFill>
              <a:latin typeface="ＭＳ Ｐゴシック"/>
              <a:ea typeface="ＭＳ Ｐゴシック"/>
            </a:rPr>
            <a:t>  </a:t>
          </a:r>
          <a:r>
            <a:rPr lang="ja-JP" altLang="en-US" sz="1800" b="1" i="0" u="none" strike="noStrike" baseline="0">
              <a:solidFill>
                <a:srgbClr val="FF66CC"/>
              </a:solidFill>
              <a:uFill>
                <a:solidFill>
                  <a:srgbClr val="0000FF"/>
                </a:solidFill>
              </a:uFill>
              <a:latin typeface="ＭＳ Ｐゴシック"/>
              <a:ea typeface="ＭＳ Ｐゴシック"/>
            </a:rPr>
            <a:t>　</a:t>
          </a:r>
          <a:r>
            <a:rPr lang="ja-JP" altLang="en-US" sz="1800" b="1" i="0" u="none" strike="noStrike" baseline="0">
              <a:solidFill>
                <a:sysClr val="windowText" lastClr="000000"/>
              </a:solidFill>
              <a:uFillTx/>
              <a:latin typeface="ＭＳ Ｐゴシック"/>
              <a:ea typeface="ＭＳ Ｐゴシック"/>
            </a:rPr>
            <a:t>・・・   </a:t>
          </a:r>
          <a:r>
            <a:rPr lang="ja-JP" altLang="en-US" sz="18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英検対策・テスト</a:t>
          </a:r>
          <a:r>
            <a:rPr lang="ja-JP" altLang="ja-JP" sz="1800" b="1" i="0">
              <a:effectLst/>
              <a:latin typeface="+mn-lt"/>
              <a:ea typeface="+mn-ea"/>
              <a:cs typeface="+mn-cs"/>
            </a:rPr>
            <a:t>対策</a:t>
          </a:r>
          <a:r>
            <a:rPr lang="ja-JP" altLang="en-US" sz="1800" b="1" i="0">
              <a:effectLst/>
              <a:latin typeface="+mn-lt"/>
              <a:ea typeface="+mn-ea"/>
              <a:cs typeface="+mn-cs"/>
            </a:rPr>
            <a:t>等</a:t>
          </a:r>
          <a:endParaRPr lang="en-US" altLang="ja-JP" sz="1800" b="1" i="0">
            <a:effectLst/>
            <a:latin typeface="+mn-lt"/>
            <a:ea typeface="+mn-ea"/>
            <a:cs typeface="+mn-cs"/>
          </a:endParaRPr>
        </a:p>
        <a:p>
          <a:pPr algn="l" rtl="0">
            <a:defRPr sz="1000"/>
          </a:pPr>
          <a:r>
            <a:rPr lang="ja-JP" altLang="en-US" sz="1800" b="1" i="0">
              <a:effectLst/>
              <a:latin typeface="+mn-lt"/>
              <a:ea typeface="+mn-ea"/>
              <a:cs typeface="+mn-cs"/>
            </a:rPr>
            <a:t>　　　　　　　　　　</a:t>
          </a:r>
          <a:r>
            <a:rPr lang="ja-JP" altLang="ja-JP" sz="1800" b="1" i="0">
              <a:effectLst/>
              <a:latin typeface="+mn-lt"/>
              <a:ea typeface="+mn-ea"/>
              <a:cs typeface="+mn-cs"/>
            </a:rPr>
            <a:t>（日本人講師）</a:t>
          </a:r>
          <a:endParaRPr lang="ja-JP" altLang="en-US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2690810</xdr:colOff>
      <xdr:row>1</xdr:row>
      <xdr:rowOff>107156</xdr:rowOff>
    </xdr:from>
    <xdr:to>
      <xdr:col>12</xdr:col>
      <xdr:colOff>190504</xdr:colOff>
      <xdr:row>15</xdr:row>
      <xdr:rowOff>345281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>
          <a:spLocks noChangeArrowheads="1"/>
        </xdr:cNvSpPr>
      </xdr:nvSpPr>
      <xdr:spPr bwMode="auto">
        <a:xfrm>
          <a:off x="18704716" y="273844"/>
          <a:ext cx="6488913" cy="39766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rtl="0"/>
          <a:r>
            <a:rPr lang="ja-JP" altLang="en-US" sz="1800" b="1" i="0">
              <a:effectLst/>
              <a:latin typeface="+mn-lt"/>
              <a:ea typeface="+mn-ea"/>
              <a:cs typeface="+mn-cs"/>
            </a:rPr>
            <a:t>≪</a:t>
          </a:r>
          <a:r>
            <a:rPr lang="ja-JP" altLang="ja-JP" sz="1800" b="1" i="0">
              <a:effectLst/>
              <a:latin typeface="+mn-lt"/>
              <a:ea typeface="+mn-ea"/>
              <a:cs typeface="+mn-cs"/>
            </a:rPr>
            <a:t>その他</a:t>
          </a:r>
          <a:r>
            <a:rPr lang="ja-JP" altLang="en-US" sz="1800" b="1" i="0">
              <a:effectLst/>
              <a:latin typeface="+mn-lt"/>
              <a:ea typeface="+mn-ea"/>
              <a:cs typeface="+mn-cs"/>
            </a:rPr>
            <a:t>≫</a:t>
          </a:r>
          <a:endParaRPr lang="en-US" altLang="ja-JP" sz="1800" b="1" i="0">
            <a:effectLst/>
            <a:latin typeface="+mn-lt"/>
            <a:ea typeface="+mn-ea"/>
            <a:cs typeface="+mn-cs"/>
          </a:endParaRPr>
        </a:p>
        <a:p>
          <a:pPr rtl="0"/>
          <a:r>
            <a:rPr lang="en-US" altLang="ja-JP" sz="1800" b="1" i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P</a:t>
          </a:r>
          <a:r>
            <a:rPr lang="ja-JP" altLang="en-US" sz="1800" b="1" i="0">
              <a:solidFill>
                <a:srgbClr val="66FF33"/>
              </a:solidFill>
              <a:effectLst/>
              <a:latin typeface="+mn-lt"/>
              <a:ea typeface="+mn-ea"/>
              <a:cs typeface="+mn-cs"/>
            </a:rPr>
            <a:t>       　　 </a:t>
          </a:r>
          <a:r>
            <a:rPr lang="en-US" altLang="ja-JP" sz="1800" b="1" i="0">
              <a:solidFill>
                <a:srgbClr val="66FF33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ja-JP" altLang="en-US" sz="1800" b="1" i="0">
              <a:solidFill>
                <a:srgbClr val="66FF33"/>
              </a:solidFill>
              <a:effectLst/>
              <a:latin typeface="+mn-lt"/>
              <a:ea typeface="+mn-ea"/>
              <a:cs typeface="+mn-cs"/>
            </a:rPr>
            <a:t> 　</a:t>
          </a:r>
          <a:r>
            <a:rPr lang="ja-JP" altLang="ja-JP" sz="1800" b="1" i="0">
              <a:effectLst/>
              <a:latin typeface="+mn-lt"/>
              <a:ea typeface="+mn-ea"/>
              <a:cs typeface="+mn-cs"/>
            </a:rPr>
            <a:t>・・</a:t>
          </a:r>
          <a:r>
            <a:rPr lang="ja-JP" altLang="en-US" sz="1800" b="1" i="0">
              <a:effectLst/>
              <a:latin typeface="+mn-lt"/>
              <a:ea typeface="+mn-ea"/>
              <a:cs typeface="+mn-cs"/>
            </a:rPr>
            <a:t>・　</a:t>
          </a:r>
          <a:r>
            <a:rPr lang="ja-JP" altLang="ja-JP" sz="1800" b="1" i="0">
              <a:effectLst/>
              <a:latin typeface="+mn-lt"/>
              <a:ea typeface="+mn-ea"/>
              <a:cs typeface="+mn-cs"/>
            </a:rPr>
            <a:t>プライベート</a:t>
          </a:r>
          <a:r>
            <a:rPr lang="ja-JP" altLang="en-US" sz="1800" b="1" i="0">
              <a:effectLst/>
              <a:latin typeface="+mn-lt"/>
              <a:ea typeface="+mn-ea"/>
              <a:cs typeface="+mn-cs"/>
            </a:rPr>
            <a:t>レッスン</a:t>
          </a:r>
          <a:endParaRPr lang="en-US" altLang="ja-JP" sz="1800" b="1" i="0"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en-US" sz="1800" b="1" i="0">
              <a:effectLst/>
              <a:latin typeface="+mn-lt"/>
              <a:ea typeface="+mn-ea"/>
              <a:cs typeface="+mn-cs"/>
            </a:rPr>
            <a:t>　　    　    　　　    </a:t>
          </a:r>
          <a:r>
            <a:rPr lang="ja-JP" altLang="en-US" sz="18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en-US" altLang="ja-JP" sz="1800" b="1" i="0">
              <a:effectLst/>
              <a:latin typeface="+mn-lt"/>
              <a:ea typeface="+mn-ea"/>
              <a:cs typeface="+mn-cs"/>
            </a:rPr>
            <a:t>(</a:t>
          </a:r>
          <a:r>
            <a:rPr lang="ja-JP" altLang="en-US" sz="1800" b="1" i="0">
              <a:effectLst/>
              <a:latin typeface="+mn-lt"/>
              <a:ea typeface="+mn-ea"/>
              <a:cs typeface="+mn-cs"/>
            </a:rPr>
            <a:t>講師と</a:t>
          </a:r>
          <a:r>
            <a:rPr lang="en-US" altLang="ja-JP" sz="1800" b="1" i="0">
              <a:effectLst/>
              <a:latin typeface="+mn-lt"/>
              <a:ea typeface="+mn-ea"/>
              <a:cs typeface="+mn-cs"/>
            </a:rPr>
            <a:t>1</a:t>
          </a:r>
          <a:r>
            <a:rPr lang="ja-JP" altLang="en-US" sz="1800" b="1" i="0">
              <a:effectLst/>
              <a:latin typeface="+mn-lt"/>
              <a:ea typeface="+mn-ea"/>
              <a:cs typeface="+mn-cs"/>
            </a:rPr>
            <a:t>対</a:t>
          </a:r>
          <a:r>
            <a:rPr lang="en-US" altLang="ja-JP" sz="1800" b="1" i="0">
              <a:effectLst/>
              <a:latin typeface="+mn-lt"/>
              <a:ea typeface="+mn-ea"/>
              <a:cs typeface="+mn-cs"/>
            </a:rPr>
            <a:t>1</a:t>
          </a:r>
          <a:r>
            <a:rPr lang="ja-JP" altLang="en-US" sz="1800" b="1" i="0">
              <a:effectLst/>
              <a:latin typeface="+mn-lt"/>
              <a:ea typeface="+mn-ea"/>
              <a:cs typeface="+mn-cs"/>
            </a:rPr>
            <a:t>の個別レッスン</a:t>
          </a:r>
          <a:r>
            <a:rPr lang="en-US" altLang="ja-JP" sz="1800" b="1" i="0">
              <a:effectLst/>
              <a:latin typeface="+mn-lt"/>
              <a:ea typeface="+mn-ea"/>
              <a:cs typeface="+mn-cs"/>
            </a:rPr>
            <a:t>)</a:t>
          </a:r>
        </a:p>
        <a:p>
          <a:pPr rtl="0"/>
          <a:r>
            <a:rPr lang="en-US" altLang="ja-JP" sz="1800" b="1">
              <a:solidFill>
                <a:srgbClr val="00B050"/>
              </a:solidFill>
              <a:effectLst/>
            </a:rPr>
            <a:t>SP</a:t>
          </a:r>
          <a:r>
            <a:rPr lang="ja-JP" altLang="en-US" sz="1800" b="1">
              <a:solidFill>
                <a:srgbClr val="00FF00"/>
              </a:solidFill>
              <a:effectLst/>
            </a:rPr>
            <a:t>   　　</a:t>
          </a:r>
          <a:r>
            <a:rPr lang="en-US" altLang="ja-JP" sz="1800" b="1">
              <a:solidFill>
                <a:srgbClr val="00FF00"/>
              </a:solidFill>
              <a:effectLst/>
            </a:rPr>
            <a:t> </a:t>
          </a:r>
          <a:r>
            <a:rPr lang="ja-JP" altLang="en-US" sz="1800" b="1">
              <a:solidFill>
                <a:srgbClr val="00FF00"/>
              </a:solidFill>
              <a:effectLst/>
            </a:rPr>
            <a:t>　</a:t>
          </a:r>
          <a:r>
            <a:rPr lang="en-US" altLang="ja-JP" sz="1800" b="1">
              <a:solidFill>
                <a:srgbClr val="00FF00"/>
              </a:solidFill>
              <a:effectLst/>
            </a:rPr>
            <a:t>  </a:t>
          </a:r>
          <a:r>
            <a:rPr lang="ja-JP" altLang="en-US" sz="1800" b="1">
              <a:solidFill>
                <a:srgbClr val="00FF00"/>
              </a:solidFill>
              <a:effectLst/>
            </a:rPr>
            <a:t>   </a:t>
          </a:r>
          <a:r>
            <a:rPr lang="ja-JP" altLang="en-US" sz="1800" b="1">
              <a:effectLst/>
            </a:rPr>
            <a:t>・・・</a:t>
          </a:r>
          <a:r>
            <a:rPr lang="ja-JP" altLang="en-US" sz="1800" b="1" baseline="0">
              <a:effectLst/>
            </a:rPr>
            <a:t>  </a:t>
          </a:r>
          <a:r>
            <a:rPr lang="ja-JP" altLang="en-US" sz="1800" b="1">
              <a:effectLst/>
            </a:rPr>
            <a:t>セミプライベートレッスン</a:t>
          </a:r>
          <a:endParaRPr lang="en-US" altLang="ja-JP" sz="1800" b="1">
            <a:effectLst/>
          </a:endParaRPr>
        </a:p>
        <a:p>
          <a:pPr rtl="0"/>
          <a:r>
            <a:rPr lang="en-US" altLang="ja-JP" sz="1800" b="1">
              <a:effectLst/>
            </a:rPr>
            <a:t>                 </a:t>
          </a:r>
          <a:r>
            <a:rPr lang="ja-JP" altLang="en-US" sz="1800" b="1">
              <a:effectLst/>
            </a:rPr>
            <a:t>　　　　 </a:t>
          </a:r>
          <a:r>
            <a:rPr lang="en-US" altLang="ja-JP" sz="1800" b="1">
              <a:effectLst/>
            </a:rPr>
            <a:t> (2</a:t>
          </a:r>
          <a:r>
            <a:rPr lang="ja-JP" altLang="en-US" sz="1800" b="1">
              <a:effectLst/>
            </a:rPr>
            <a:t>名以上の貸切レッスン</a:t>
          </a:r>
          <a:r>
            <a:rPr lang="en-US" altLang="ja-JP" sz="1800" b="1">
              <a:effectLst/>
            </a:rPr>
            <a:t>)</a:t>
          </a:r>
          <a:endParaRPr lang="ja-JP" altLang="ja-JP" sz="1800" b="1">
            <a:effectLst/>
          </a:endParaRPr>
        </a:p>
        <a:p>
          <a:pPr rtl="0"/>
          <a:r>
            <a:rPr lang="en-US" altLang="ja-JP" sz="1800" b="1" i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P</a:t>
          </a:r>
          <a:r>
            <a:rPr lang="ja-JP" altLang="en-US" sz="1800" b="1" i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＆</a:t>
          </a:r>
          <a:r>
            <a:rPr lang="en-US" altLang="ja-JP" sz="1800" b="1" i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C</a:t>
          </a:r>
          <a:r>
            <a:rPr lang="ja-JP" altLang="en-US" sz="1800" b="1" i="0">
              <a:solidFill>
                <a:srgbClr val="00FF00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en-US" altLang="ja-JP" sz="1800" b="1" i="0">
              <a:solidFill>
                <a:srgbClr val="00FF00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ja-JP" altLang="en-US" sz="1800" b="1" i="0">
              <a:solidFill>
                <a:srgbClr val="00FF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800" b="1" i="0" baseline="0">
              <a:solidFill>
                <a:srgbClr val="00FF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800" b="1" i="0">
              <a:solidFill>
                <a:srgbClr val="00FF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800" b="1" i="0">
              <a:effectLst/>
              <a:latin typeface="+mn-lt"/>
              <a:ea typeface="+mn-ea"/>
              <a:cs typeface="+mn-cs"/>
            </a:rPr>
            <a:t>・・</a:t>
          </a:r>
          <a:r>
            <a:rPr lang="ja-JP" altLang="en-US" sz="1800" b="1" i="0">
              <a:effectLst/>
              <a:latin typeface="+mn-lt"/>
              <a:ea typeface="+mn-ea"/>
              <a:cs typeface="+mn-cs"/>
            </a:rPr>
            <a:t>・ </a:t>
          </a:r>
          <a:r>
            <a:rPr lang="ja-JP" altLang="en-US" sz="18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800" b="1" i="0">
              <a:effectLst/>
              <a:latin typeface="+mn-lt"/>
              <a:ea typeface="+mn-ea"/>
              <a:cs typeface="+mn-cs"/>
            </a:rPr>
            <a:t>親子レッスン</a:t>
          </a:r>
          <a:endParaRPr lang="en-US" altLang="ja-JP" sz="1800" b="1" i="0">
            <a:effectLst/>
            <a:latin typeface="+mn-lt"/>
            <a:ea typeface="+mn-ea"/>
            <a:cs typeface="+mn-cs"/>
          </a:endParaRPr>
        </a:p>
        <a:p>
          <a:pPr rtl="0"/>
          <a:r>
            <a:rPr lang="en-US" altLang="ja-JP" sz="1800" b="1" i="0">
              <a:effectLst/>
              <a:latin typeface="+mn-lt"/>
              <a:ea typeface="+mn-ea"/>
              <a:cs typeface="+mn-cs"/>
            </a:rPr>
            <a:t>                        </a:t>
          </a:r>
          <a:r>
            <a:rPr lang="ja-JP" altLang="en-US" sz="1800" b="1" i="0">
              <a:effectLst/>
              <a:latin typeface="+mn-lt"/>
              <a:ea typeface="+mn-ea"/>
              <a:cs typeface="+mn-cs"/>
            </a:rPr>
            <a:t>　  </a:t>
          </a:r>
          <a:r>
            <a:rPr lang="en-US" altLang="ja-JP" sz="1800" b="1" i="0">
              <a:effectLst/>
              <a:latin typeface="+mn-lt"/>
              <a:ea typeface="+mn-ea"/>
              <a:cs typeface="+mn-cs"/>
            </a:rPr>
            <a:t>  </a:t>
          </a:r>
          <a:r>
            <a:rPr lang="en-US" altLang="ja-JP" sz="1800" b="1">
              <a:effectLst/>
              <a:latin typeface="+mn-lt"/>
              <a:ea typeface="+mn-ea"/>
              <a:cs typeface="+mn-cs"/>
            </a:rPr>
            <a:t>(</a:t>
          </a:r>
          <a:r>
            <a:rPr lang="en-US" altLang="ja-JP" sz="1800" b="1" i="0">
              <a:effectLst/>
              <a:latin typeface="+mn-lt"/>
              <a:ea typeface="+mn-ea"/>
              <a:cs typeface="+mn-cs"/>
            </a:rPr>
            <a:t>0〜3</a:t>
          </a:r>
          <a:r>
            <a:rPr lang="ja-JP" altLang="ja-JP" sz="1800" b="1" i="0">
              <a:effectLst/>
              <a:latin typeface="+mn-lt"/>
              <a:ea typeface="+mn-ea"/>
              <a:cs typeface="+mn-cs"/>
            </a:rPr>
            <a:t>歳までの</a:t>
          </a:r>
          <a:r>
            <a:rPr lang="ja-JP" altLang="en-US" sz="1800" b="1" i="0">
              <a:effectLst/>
              <a:latin typeface="+mn-lt"/>
              <a:ea typeface="+mn-ea"/>
              <a:cs typeface="+mn-cs"/>
            </a:rPr>
            <a:t>お子様</a:t>
          </a:r>
          <a:r>
            <a:rPr lang="en-US" altLang="ja-JP" sz="1800" b="1" i="0">
              <a:effectLst/>
              <a:latin typeface="+mn-lt"/>
              <a:ea typeface="+mn-ea"/>
              <a:cs typeface="+mn-cs"/>
            </a:rPr>
            <a:t>+</a:t>
          </a:r>
          <a:r>
            <a:rPr lang="ja-JP" altLang="en-US" sz="1800" b="1" i="0">
              <a:effectLst/>
              <a:latin typeface="+mn-lt"/>
              <a:ea typeface="+mn-ea"/>
              <a:cs typeface="+mn-cs"/>
            </a:rPr>
            <a:t>保護者の方</a:t>
          </a:r>
          <a:r>
            <a:rPr lang="en-US" altLang="ja-JP" sz="1800" b="1" i="0">
              <a:effectLst/>
              <a:latin typeface="+mn-lt"/>
              <a:ea typeface="+mn-ea"/>
              <a:cs typeface="+mn-cs"/>
            </a:rPr>
            <a:t>)</a:t>
          </a:r>
        </a:p>
        <a:p>
          <a:pPr rtl="0"/>
          <a:r>
            <a:rPr lang="en-US" altLang="ja-JP" sz="1800" b="1" i="0">
              <a:solidFill>
                <a:srgbClr val="00B050"/>
              </a:solidFill>
              <a:effectLst/>
              <a:latin typeface="+mn-ea"/>
              <a:ea typeface="+mn-ea"/>
              <a:cs typeface="+mn-cs"/>
            </a:rPr>
            <a:t>Phonics</a:t>
          </a:r>
          <a:r>
            <a:rPr lang="en-US" altLang="ja-JP" sz="1800" b="1" i="0" baseline="0">
              <a:solidFill>
                <a:srgbClr val="00FF00"/>
              </a:solidFill>
              <a:effectLst/>
              <a:latin typeface="+mn-ea"/>
              <a:ea typeface="+mn-ea"/>
              <a:cs typeface="+mn-cs"/>
            </a:rPr>
            <a:t>   </a:t>
          </a:r>
          <a:r>
            <a:rPr lang="ja-JP" altLang="en-US" sz="1800" b="1" i="0" baseline="0">
              <a:solidFill>
                <a:srgbClr val="00FF00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lang="ja-JP" altLang="ja-JP" sz="1800" b="1" i="0">
              <a:effectLst/>
              <a:latin typeface="+mn-lt"/>
              <a:ea typeface="+mn-ea"/>
              <a:cs typeface="+mn-cs"/>
            </a:rPr>
            <a:t>・・・</a:t>
          </a:r>
          <a:r>
            <a:rPr lang="ja-JP" altLang="en-US" sz="1800" b="1" i="0">
              <a:effectLst/>
              <a:latin typeface="+mn-lt"/>
              <a:ea typeface="+mn-ea"/>
              <a:cs typeface="+mn-cs"/>
            </a:rPr>
            <a:t>　音声と文字を楽しく結びつけていく レッスン</a:t>
          </a:r>
          <a:endParaRPr lang="en-US" altLang="ja-JP" sz="1800" b="1" i="0">
            <a:effectLst/>
            <a:latin typeface="+mn-lt"/>
            <a:ea typeface="+mn-ea"/>
            <a:cs typeface="+mn-cs"/>
          </a:endParaRPr>
        </a:p>
        <a:p>
          <a:pPr rtl="0"/>
          <a:endParaRPr lang="en-US" altLang="ja-JP" sz="800" b="1" i="0"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en-US" sz="1800" b="1">
              <a:solidFill>
                <a:schemeClr val="accent6">
                  <a:lumMod val="75000"/>
                </a:schemeClr>
              </a:solidFill>
              <a:effectLst/>
            </a:rPr>
            <a:t>通訳クラス</a:t>
          </a:r>
          <a:r>
            <a:rPr lang="ja-JP" altLang="en-US" sz="1800" b="1" baseline="0">
              <a:solidFill>
                <a:schemeClr val="accent6">
                  <a:lumMod val="75000"/>
                </a:schemeClr>
              </a:solidFill>
              <a:effectLst/>
            </a:rPr>
            <a:t> </a:t>
          </a:r>
          <a:r>
            <a:rPr lang="ja-JP" altLang="en-US" sz="1800" b="1">
              <a:solidFill>
                <a:schemeClr val="accent6">
                  <a:lumMod val="75000"/>
                </a:schemeClr>
              </a:solidFill>
              <a:effectLst/>
            </a:rPr>
            <a:t> </a:t>
          </a:r>
          <a:r>
            <a:rPr lang="ja-JP" altLang="en-US" sz="1800" b="1">
              <a:solidFill>
                <a:schemeClr val="tx1"/>
              </a:solidFill>
              <a:effectLst/>
            </a:rPr>
            <a:t>・・・ 衣山校にて開講（上級者向け）</a:t>
          </a:r>
          <a:endParaRPr lang="en-US" altLang="ja-JP" sz="1800" b="1">
            <a:solidFill>
              <a:schemeClr val="tx1"/>
            </a:solidFill>
            <a:effectLst/>
          </a:endParaRPr>
        </a:p>
        <a:p>
          <a:pPr rtl="0"/>
          <a:endParaRPr lang="en-US" altLang="ja-JP" sz="800" b="1">
            <a:solidFill>
              <a:schemeClr val="tx1"/>
            </a:solidFill>
            <a:effectLst/>
          </a:endParaRPr>
        </a:p>
        <a:p>
          <a:pPr rtl="0"/>
          <a:r>
            <a:rPr lang="ja-JP" altLang="en-US" sz="1800" b="1">
              <a:solidFill>
                <a:srgbClr val="7030A0"/>
              </a:solidFill>
              <a:effectLst/>
            </a:rPr>
            <a:t>プログラミング・ロボット教室</a:t>
          </a:r>
          <a:endParaRPr lang="en-US" altLang="ja-JP" sz="1800" b="1">
            <a:solidFill>
              <a:srgbClr val="7030A0"/>
            </a:solidFill>
            <a:effectLst/>
          </a:endParaRPr>
        </a:p>
        <a:p>
          <a:pPr rtl="0"/>
          <a:r>
            <a:rPr lang="en-US" altLang="ja-JP" sz="1800" b="1">
              <a:effectLst/>
              <a:latin typeface="+mn-lt"/>
              <a:ea typeface="+mn-ea"/>
              <a:cs typeface="+mn-cs"/>
            </a:rPr>
            <a:t>             </a:t>
          </a:r>
          <a:r>
            <a:rPr lang="ja-JP" altLang="en-US" sz="1800" b="1">
              <a:effectLst/>
              <a:latin typeface="+mn-lt"/>
              <a:ea typeface="+mn-ea"/>
              <a:cs typeface="+mn-cs"/>
            </a:rPr>
            <a:t>　　</a:t>
          </a:r>
          <a:r>
            <a:rPr lang="ja-JP" altLang="en-US" sz="1800" b="1" baseline="0">
              <a:effectLst/>
              <a:latin typeface="+mn-lt"/>
              <a:ea typeface="+mn-ea"/>
              <a:cs typeface="+mn-cs"/>
            </a:rPr>
            <a:t>  </a:t>
          </a:r>
          <a:r>
            <a:rPr lang="en-US" altLang="ja-JP" sz="1800" b="1"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800" b="1">
              <a:effectLst/>
              <a:latin typeface="+mn-lt"/>
              <a:ea typeface="+mn-ea"/>
              <a:cs typeface="+mn-cs"/>
            </a:rPr>
            <a:t>・・・ </a:t>
          </a:r>
          <a:r>
            <a:rPr lang="ja-JP" altLang="en-US" sz="1800" b="1">
              <a:effectLst/>
              <a:latin typeface="+mn-lt"/>
              <a:ea typeface="+mn-ea"/>
              <a:cs typeface="+mn-cs"/>
            </a:rPr>
            <a:t>２１世紀の必須スキルを楽しく身に付けるコース</a:t>
          </a:r>
          <a:endParaRPr lang="en-US" altLang="ja-JP" sz="1800" b="1">
            <a:effectLst/>
            <a:latin typeface="+mn-lt"/>
            <a:ea typeface="+mn-ea"/>
            <a:cs typeface="+mn-cs"/>
          </a:endParaRPr>
        </a:p>
      </xdr:txBody>
    </xdr:sp>
    <xdr:clientData/>
  </xdr:twoCellAnchor>
  <xdr:oneCellAnchor>
    <xdr:from>
      <xdr:col>5</xdr:col>
      <xdr:colOff>1560476</xdr:colOff>
      <xdr:row>11</xdr:row>
      <xdr:rowOff>98994</xdr:rowOff>
    </xdr:from>
    <xdr:ext cx="8736296" cy="1214967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/>
      </xdr:nvSpPr>
      <xdr:spPr>
        <a:xfrm>
          <a:off x="10489553" y="2912532"/>
          <a:ext cx="8736296" cy="1214967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l"/>
          <a:r>
            <a:rPr kumimoji="1" lang="en-US" altLang="ja-JP" sz="2400">
              <a:solidFill>
                <a:schemeClr val="tx1"/>
              </a:solidFill>
              <a:latin typeface="+mn-ea"/>
              <a:ea typeface="+mn-ea"/>
            </a:rPr>
            <a:t> 【</a:t>
          </a:r>
          <a:r>
            <a:rPr kumimoji="1" lang="ja-JP" altLang="en-US" sz="2400">
              <a:solidFill>
                <a:schemeClr val="tx1"/>
              </a:solidFill>
              <a:latin typeface="+mn-ea"/>
              <a:ea typeface="+mn-ea"/>
            </a:rPr>
            <a:t>余戸校受付時間</a:t>
          </a:r>
          <a:r>
            <a:rPr kumimoji="1" lang="en-US" altLang="ja-JP" sz="2400">
              <a:solidFill>
                <a:schemeClr val="tx1"/>
              </a:solidFill>
              <a:latin typeface="+mn-ea"/>
              <a:ea typeface="+mn-ea"/>
            </a:rPr>
            <a:t>】</a:t>
          </a:r>
          <a:r>
            <a:rPr kumimoji="1" lang="ja-JP" altLang="en-US" sz="2400">
              <a:solidFill>
                <a:schemeClr val="tx1"/>
              </a:solidFill>
              <a:latin typeface="+mn-ea"/>
              <a:ea typeface="+mn-ea"/>
            </a:rPr>
            <a:t>　</a:t>
          </a:r>
          <a:endParaRPr kumimoji="1" lang="en-US" altLang="ja-JP" sz="240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2400">
              <a:solidFill>
                <a:schemeClr val="tx1"/>
              </a:solidFill>
              <a:latin typeface="+mn-ea"/>
              <a:ea typeface="+mn-ea"/>
            </a:rPr>
            <a:t>  月曜～金曜：</a:t>
          </a:r>
          <a:r>
            <a:rPr kumimoji="1" lang="ja-JP" altLang="en-US" sz="2400" b="1">
              <a:solidFill>
                <a:schemeClr val="tx1"/>
              </a:solidFill>
              <a:latin typeface="+mn-ea"/>
              <a:ea typeface="+mn-ea"/>
            </a:rPr>
            <a:t>１２時～２</a:t>
          </a:r>
          <a:r>
            <a:rPr kumimoji="1" lang="en-US" altLang="ja-JP" sz="2400" b="1">
              <a:solidFill>
                <a:schemeClr val="tx1"/>
              </a:solidFill>
              <a:latin typeface="+mn-ea"/>
              <a:ea typeface="+mn-ea"/>
            </a:rPr>
            <a:t>1</a:t>
          </a:r>
          <a:r>
            <a:rPr kumimoji="1" lang="ja-JP" altLang="en-US" sz="2400" b="1">
              <a:solidFill>
                <a:schemeClr val="tx1"/>
              </a:solidFill>
              <a:latin typeface="+mn-ea"/>
              <a:ea typeface="+mn-ea"/>
            </a:rPr>
            <a:t>時　　</a:t>
          </a:r>
          <a:r>
            <a:rPr kumimoji="1" lang="ja-JP" altLang="en-US" sz="2400">
              <a:solidFill>
                <a:schemeClr val="tx1"/>
              </a:solidFill>
              <a:latin typeface="+mn-ea"/>
              <a:ea typeface="+mn-ea"/>
            </a:rPr>
            <a:t>土曜：</a:t>
          </a:r>
          <a:r>
            <a:rPr kumimoji="1" lang="ja-JP" altLang="en-US" sz="2400" b="1">
              <a:solidFill>
                <a:schemeClr val="tx1"/>
              </a:solidFill>
              <a:latin typeface="+mn-ea"/>
              <a:ea typeface="+mn-ea"/>
            </a:rPr>
            <a:t>１０時～１９時</a:t>
          </a:r>
          <a:r>
            <a:rPr kumimoji="1" lang="ja-JP" altLang="en-US" sz="2400" b="0">
              <a:solidFill>
                <a:schemeClr val="tx1"/>
              </a:solidFill>
              <a:latin typeface="+mn-ea"/>
              <a:ea typeface="+mn-ea"/>
            </a:rPr>
            <a:t>　　</a:t>
          </a:r>
          <a:r>
            <a:rPr kumimoji="1" lang="ja-JP" altLang="en-US" sz="2400">
              <a:solidFill>
                <a:schemeClr val="tx1"/>
              </a:solidFill>
              <a:latin typeface="+mn-ea"/>
              <a:ea typeface="+mn-ea"/>
            </a:rPr>
            <a:t>日</a:t>
          </a:r>
          <a:r>
            <a:rPr kumimoji="1" lang="en-US" altLang="ja-JP" sz="2400">
              <a:solidFill>
                <a:schemeClr val="tx1"/>
              </a:solidFill>
              <a:latin typeface="+mn-ea"/>
              <a:ea typeface="+mn-ea"/>
            </a:rPr>
            <a:t>:</a:t>
          </a:r>
          <a:r>
            <a:rPr kumimoji="1" lang="ja-JP" altLang="en-US" sz="2400" b="1">
              <a:solidFill>
                <a:schemeClr val="tx1"/>
              </a:solidFill>
              <a:latin typeface="+mn-ea"/>
              <a:ea typeface="+mn-ea"/>
            </a:rPr>
            <a:t>お休み</a:t>
          </a:r>
        </a:p>
      </xdr:txBody>
    </xdr:sp>
    <xdr:clientData/>
  </xdr:oneCellAnchor>
  <xdr:twoCellAnchor>
    <xdr:from>
      <xdr:col>6</xdr:col>
      <xdr:colOff>1781085</xdr:colOff>
      <xdr:row>4</xdr:row>
      <xdr:rowOff>189651</xdr:rowOff>
    </xdr:from>
    <xdr:to>
      <xdr:col>6</xdr:col>
      <xdr:colOff>1781085</xdr:colOff>
      <xdr:row>6</xdr:row>
      <xdr:rowOff>250464</xdr:rowOff>
    </xdr:to>
    <xdr:cxnSp macro="">
      <xdr:nvCxnSpPr>
        <xdr:cNvPr id="38" name="直線矢印コネクタ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V="1">
          <a:off x="12174113" y="1075156"/>
          <a:ext cx="0" cy="59677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304800</xdr:colOff>
      <xdr:row>34</xdr:row>
      <xdr:rowOff>38099</xdr:rowOff>
    </xdr:to>
    <xdr:sp macro="" textlink="">
      <xdr:nvSpPr>
        <xdr:cNvPr id="1031" name="AutoShape 7" descr="「9月　イラスト」の画像検索結果">
          <a:extLst>
            <a:ext uri="{FF2B5EF4-FFF2-40B4-BE49-F238E27FC236}">
              <a16:creationId xmlns:a16="http://schemas.microsoft.com/office/drawing/2014/main" id="{00000000-0008-0000-01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10106025" y="624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304800</xdr:colOff>
      <xdr:row>33</xdr:row>
      <xdr:rowOff>38101</xdr:rowOff>
    </xdr:to>
    <xdr:sp macro="" textlink="">
      <xdr:nvSpPr>
        <xdr:cNvPr id="1032" name="AutoShape 8" descr="「9月　イラスト」の画像検索結果">
          <a:extLst>
            <a:ext uri="{FF2B5EF4-FFF2-40B4-BE49-F238E27FC236}">
              <a16:creationId xmlns:a16="http://schemas.microsoft.com/office/drawing/2014/main" id="{00000000-0008-0000-01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5876925" y="601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213976</xdr:colOff>
      <xdr:row>9</xdr:row>
      <xdr:rowOff>254000</xdr:rowOff>
    </xdr:from>
    <xdr:to>
      <xdr:col>3</xdr:col>
      <xdr:colOff>397180</xdr:colOff>
      <xdr:row>15</xdr:row>
      <xdr:rowOff>11641</xdr:rowOff>
    </xdr:to>
    <xdr:pic>
      <xdr:nvPicPr>
        <xdr:cNvPr id="39" name="図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976" y="2520462"/>
          <a:ext cx="3915050" cy="1398871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10</xdr:col>
      <xdr:colOff>304800</xdr:colOff>
      <xdr:row>58</xdr:row>
      <xdr:rowOff>38099</xdr:rowOff>
    </xdr:to>
    <xdr:sp macro="" textlink="">
      <xdr:nvSpPr>
        <xdr:cNvPr id="1027" name="AutoShape 3" descr="ãã²ã¾ãã ã¤ã©ã¹ããã®ç»åæ¤ç´¢çµæ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17573625" y="14878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67468</xdr:colOff>
      <xdr:row>0</xdr:row>
      <xdr:rowOff>50800</xdr:rowOff>
    </xdr:from>
    <xdr:to>
      <xdr:col>5</xdr:col>
      <xdr:colOff>2184400</xdr:colOff>
      <xdr:row>9</xdr:row>
      <xdr:rowOff>33866</xdr:rowOff>
    </xdr:to>
    <xdr:sp macro="" textlink="">
      <xdr:nvSpPr>
        <xdr:cNvPr id="55" name="WordArt 1501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55335" y="50800"/>
          <a:ext cx="10769865" cy="2252133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fromWordArt="1">
          <a:prstTxWarp prst="textPlain">
            <a:avLst>
              <a:gd name="adj" fmla="val 50278"/>
            </a:avLst>
          </a:prstTxWarp>
        </a:bodyPr>
        <a:lstStyle/>
        <a:p>
          <a:pPr algn="l" rtl="0">
            <a:lnSpc>
              <a:spcPts val="3700"/>
            </a:lnSpc>
          </a:pPr>
          <a:r>
            <a:rPr lang="en-US" altLang="ja-JP" sz="2800" b="0" i="0" u="sng" kern="10" cap="none" spc="0">
              <a:ln w="0">
                <a:gradFill flip="none" rotWithShape="1">
                  <a:gsLst>
                    <a:gs pos="0">
                      <a:schemeClr val="accent3">
                        <a:lumMod val="89000"/>
                      </a:schemeClr>
                    </a:gs>
                    <a:gs pos="23000">
                      <a:schemeClr val="accent3">
                        <a:lumMod val="89000"/>
                      </a:schemeClr>
                    </a:gs>
                    <a:gs pos="69000">
                      <a:schemeClr val="accent3">
                        <a:lumMod val="75000"/>
                      </a:schemeClr>
                    </a:gs>
                    <a:gs pos="97000">
                      <a:schemeClr val="accent3">
                        <a:lumMod val="70000"/>
                      </a:schemeClr>
                    </a:gs>
                  </a:gsLst>
                  <a:path path="circle">
                    <a:fillToRect l="50000" t="50000" r="50000" b="50000"/>
                  </a:path>
                  <a:tileRect/>
                </a:gradFill>
              </a:ln>
              <a:solidFill>
                <a:srgbClr val="FF0000"/>
              </a:solidFill>
              <a:effectLst>
                <a:outerShdw blurRad="38100" dist="19050" dir="2700000" algn="tl" rotWithShape="0">
                  <a:srgbClr val="00B050">
                    <a:alpha val="40000"/>
                  </a:srgbClr>
                </a:outerShdw>
              </a:effectLst>
              <a:latin typeface="Hiragino Kaku Gothic Std W8" panose="020B0800000000000000" pitchFamily="34" charset="-128"/>
              <a:ea typeface="Hiragino Kaku Gothic Std W8" panose="020B0800000000000000" pitchFamily="34" charset="-128"/>
              <a:cs typeface="Simplified Arabic Fixed" pitchFamily="49" charset="-78"/>
            </a:rPr>
            <a:t>2020</a:t>
          </a:r>
          <a:r>
            <a:rPr lang="ja-JP" altLang="en-US" sz="2800" b="0" i="0" u="sng" kern="10" cap="none" spc="0">
              <a:ln w="0">
                <a:gradFill flip="none" rotWithShape="1">
                  <a:gsLst>
                    <a:gs pos="0">
                      <a:schemeClr val="accent3">
                        <a:lumMod val="89000"/>
                      </a:schemeClr>
                    </a:gs>
                    <a:gs pos="23000">
                      <a:schemeClr val="accent3">
                        <a:lumMod val="89000"/>
                      </a:schemeClr>
                    </a:gs>
                    <a:gs pos="69000">
                      <a:schemeClr val="accent3">
                        <a:lumMod val="75000"/>
                      </a:schemeClr>
                    </a:gs>
                    <a:gs pos="97000">
                      <a:schemeClr val="accent3">
                        <a:lumMod val="70000"/>
                      </a:schemeClr>
                    </a:gs>
                  </a:gsLst>
                  <a:path path="circle">
                    <a:fillToRect l="50000" t="50000" r="50000" b="50000"/>
                  </a:path>
                  <a:tileRect/>
                </a:gradFill>
              </a:ln>
              <a:solidFill>
                <a:srgbClr val="FF0000"/>
              </a:solidFill>
              <a:effectLst>
                <a:outerShdw blurRad="38100" dist="19050" dir="2700000" algn="tl" rotWithShape="0">
                  <a:srgbClr val="00B050">
                    <a:alpha val="40000"/>
                  </a:srgbClr>
                </a:outerShdw>
              </a:effectLst>
              <a:latin typeface="Hiragino Kaku Gothic Std W8" panose="020B0800000000000000" pitchFamily="34" charset="-128"/>
              <a:ea typeface="Hiragino Kaku Gothic Std W8" panose="020B0800000000000000" pitchFamily="34" charset="-128"/>
              <a:cs typeface="Simplified Arabic Fixed" pitchFamily="49" charset="-78"/>
            </a:rPr>
            <a:t>年</a:t>
          </a:r>
          <a:r>
            <a:rPr lang="en-US" altLang="ja-JP" sz="2800" b="0" i="0" u="sng" kern="10" cap="none" spc="0">
              <a:ln w="0">
                <a:gradFill flip="none" rotWithShape="1">
                  <a:gsLst>
                    <a:gs pos="0">
                      <a:schemeClr val="accent3">
                        <a:lumMod val="89000"/>
                      </a:schemeClr>
                    </a:gs>
                    <a:gs pos="23000">
                      <a:schemeClr val="accent3">
                        <a:lumMod val="89000"/>
                      </a:schemeClr>
                    </a:gs>
                    <a:gs pos="69000">
                      <a:schemeClr val="accent3">
                        <a:lumMod val="75000"/>
                      </a:schemeClr>
                    </a:gs>
                    <a:gs pos="97000">
                      <a:schemeClr val="accent3">
                        <a:lumMod val="70000"/>
                      </a:schemeClr>
                    </a:gs>
                  </a:gsLst>
                  <a:path path="circle">
                    <a:fillToRect l="50000" t="50000" r="50000" b="50000"/>
                  </a:path>
                  <a:tileRect/>
                </a:gradFill>
              </a:ln>
              <a:solidFill>
                <a:srgbClr val="FF0000"/>
              </a:solidFill>
              <a:effectLst>
                <a:outerShdw blurRad="38100" dist="19050" dir="2700000" algn="tl" rotWithShape="0">
                  <a:srgbClr val="00B050">
                    <a:alpha val="40000"/>
                  </a:srgbClr>
                </a:outerShdw>
              </a:effectLst>
              <a:latin typeface="Hiragino Kaku Gothic Std W8" panose="020B0800000000000000" pitchFamily="34" charset="-128"/>
              <a:ea typeface="Hiragino Kaku Gothic Std W8" panose="020B0800000000000000" pitchFamily="34" charset="-128"/>
              <a:cs typeface="Simplified Arabic Fixed" pitchFamily="49" charset="-78"/>
            </a:rPr>
            <a:t>12</a:t>
          </a:r>
          <a:r>
            <a:rPr lang="ja-JP" altLang="en-US" sz="2800" b="0" i="0" u="sng" kern="10" cap="none" spc="0">
              <a:ln w="0">
                <a:gradFill flip="none" rotWithShape="1">
                  <a:gsLst>
                    <a:gs pos="0">
                      <a:schemeClr val="accent3">
                        <a:lumMod val="89000"/>
                      </a:schemeClr>
                    </a:gs>
                    <a:gs pos="23000">
                      <a:schemeClr val="accent3">
                        <a:lumMod val="89000"/>
                      </a:schemeClr>
                    </a:gs>
                    <a:gs pos="69000">
                      <a:schemeClr val="accent3">
                        <a:lumMod val="75000"/>
                      </a:schemeClr>
                    </a:gs>
                    <a:gs pos="97000">
                      <a:schemeClr val="accent3">
                        <a:lumMod val="70000"/>
                      </a:schemeClr>
                    </a:gs>
                  </a:gsLst>
                  <a:path path="circle">
                    <a:fillToRect l="50000" t="50000" r="50000" b="50000"/>
                  </a:path>
                  <a:tileRect/>
                </a:gradFill>
              </a:ln>
              <a:solidFill>
                <a:srgbClr val="FF0000"/>
              </a:solidFill>
              <a:effectLst>
                <a:outerShdw blurRad="38100" dist="19050" dir="2700000" algn="tl" rotWithShape="0">
                  <a:srgbClr val="00B050">
                    <a:alpha val="40000"/>
                  </a:srgbClr>
                </a:outerShdw>
              </a:effectLst>
              <a:latin typeface="Hiragino Kaku Gothic Std W8" panose="020B0800000000000000" pitchFamily="34" charset="-128"/>
              <a:ea typeface="Hiragino Kaku Gothic Std W8" panose="020B0800000000000000" pitchFamily="34" charset="-128"/>
              <a:cs typeface="Simplified Arabic Fixed" pitchFamily="49" charset="-78"/>
            </a:rPr>
            <a:t>月</a:t>
          </a:r>
          <a:r>
            <a:rPr lang="ja-JP" altLang="en-US" sz="2800" b="0" i="0" u="sng" kern="10" cap="none" spc="0" baseline="0">
              <a:ln w="0">
                <a:gradFill flip="none" rotWithShape="1">
                  <a:gsLst>
                    <a:gs pos="0">
                      <a:schemeClr val="accent3">
                        <a:lumMod val="89000"/>
                      </a:schemeClr>
                    </a:gs>
                    <a:gs pos="23000">
                      <a:schemeClr val="accent3">
                        <a:lumMod val="89000"/>
                      </a:schemeClr>
                    </a:gs>
                    <a:gs pos="69000">
                      <a:schemeClr val="accent3">
                        <a:lumMod val="75000"/>
                      </a:schemeClr>
                    </a:gs>
                    <a:gs pos="97000">
                      <a:schemeClr val="accent3">
                        <a:lumMod val="70000"/>
                      </a:schemeClr>
                    </a:gs>
                  </a:gsLst>
                  <a:path path="circle">
                    <a:fillToRect l="50000" t="50000" r="50000" b="50000"/>
                  </a:path>
                  <a:tileRect/>
                </a:gradFill>
              </a:ln>
              <a:solidFill>
                <a:srgbClr val="FF0000"/>
              </a:solidFill>
              <a:effectLst>
                <a:outerShdw blurRad="38100" dist="19050" dir="2700000" algn="tl" rotWithShape="0">
                  <a:srgbClr val="00B050">
                    <a:alpha val="40000"/>
                  </a:srgbClr>
                </a:outerShdw>
              </a:effectLst>
              <a:latin typeface="Hiragino Kaku Gothic Std W8" panose="020B0800000000000000" pitchFamily="34" charset="-128"/>
              <a:ea typeface="Hiragino Kaku Gothic Std W8" panose="020B0800000000000000" pitchFamily="34" charset="-128"/>
              <a:cs typeface="Simplified Arabic Fixed" pitchFamily="49" charset="-78"/>
            </a:rPr>
            <a:t>余戸校</a:t>
          </a:r>
          <a:endParaRPr lang="en-US" altLang="ja-JP" sz="2800" b="0" i="0" u="sng" kern="10" cap="none" spc="0" baseline="0">
            <a:ln w="0">
              <a:gradFill flip="none" rotWithShape="1">
                <a:gsLst>
                  <a:gs pos="0">
                    <a:schemeClr val="accent3">
                      <a:lumMod val="89000"/>
                    </a:schemeClr>
                  </a:gs>
                  <a:gs pos="23000">
                    <a:schemeClr val="accent3">
                      <a:lumMod val="89000"/>
                    </a:schemeClr>
                  </a:gs>
                  <a:gs pos="69000">
                    <a:schemeClr val="accent3">
                      <a:lumMod val="75000"/>
                    </a:schemeClr>
                  </a:gs>
                  <a:gs pos="97000">
                    <a:schemeClr val="accent3">
                      <a:lumMod val="70000"/>
                    </a:schemeClr>
                  </a:gs>
                </a:gsLst>
                <a:path path="circle">
                  <a:fillToRect l="50000" t="50000" r="50000" b="50000"/>
                </a:path>
                <a:tileRect/>
              </a:gradFill>
            </a:ln>
            <a:solidFill>
              <a:srgbClr val="FF0000"/>
            </a:solidFill>
            <a:effectLst>
              <a:outerShdw blurRad="38100" dist="19050" dir="2700000" algn="tl" rotWithShape="0">
                <a:srgbClr val="00B050">
                  <a:alpha val="40000"/>
                </a:srgbClr>
              </a:outerShdw>
            </a:effectLst>
            <a:latin typeface="Hiragino Kaku Gothic Std W8" panose="020B0800000000000000" pitchFamily="34" charset="-128"/>
            <a:ea typeface="Hiragino Kaku Gothic Std W8" panose="020B0800000000000000" pitchFamily="34" charset="-128"/>
            <a:cs typeface="Simplified Arabic Fixed" pitchFamily="49" charset="-78"/>
          </a:endParaRPr>
        </a:p>
        <a:p>
          <a:pPr algn="l" rtl="0">
            <a:lnSpc>
              <a:spcPts val="3700"/>
            </a:lnSpc>
          </a:pPr>
          <a:r>
            <a:rPr lang="en-US" altLang="ja-JP" sz="2800" b="0" i="0" u="sng" kern="10" cap="none" spc="0">
              <a:ln w="0">
                <a:gradFill flip="none" rotWithShape="1">
                  <a:gsLst>
                    <a:gs pos="0">
                      <a:schemeClr val="accent3">
                        <a:lumMod val="89000"/>
                      </a:schemeClr>
                    </a:gs>
                    <a:gs pos="23000">
                      <a:schemeClr val="accent3">
                        <a:lumMod val="89000"/>
                      </a:schemeClr>
                    </a:gs>
                    <a:gs pos="69000">
                      <a:schemeClr val="accent3">
                        <a:lumMod val="75000"/>
                      </a:schemeClr>
                    </a:gs>
                    <a:gs pos="97000">
                      <a:schemeClr val="accent3">
                        <a:lumMod val="70000"/>
                      </a:schemeClr>
                    </a:gs>
                  </a:gsLst>
                  <a:path path="circle">
                    <a:fillToRect l="50000" t="50000" r="50000" b="50000"/>
                  </a:path>
                  <a:tileRect/>
                </a:gradFill>
              </a:ln>
              <a:solidFill>
                <a:srgbClr val="FF0000"/>
              </a:solidFill>
              <a:effectLst>
                <a:outerShdw blurRad="38100" dist="19050" dir="2700000" algn="tl" rotWithShape="0">
                  <a:srgbClr val="00B050">
                    <a:alpha val="40000"/>
                  </a:srgbClr>
                </a:outerShdw>
              </a:effectLst>
              <a:latin typeface="Hiragino Kaku Gothic Std W8" panose="020B0800000000000000" pitchFamily="34" charset="-128"/>
              <a:ea typeface="Hiragino Kaku Gothic Std W8" panose="020B0800000000000000" pitchFamily="34" charset="-128"/>
              <a:cs typeface="Simplified Arabic Fixed" pitchFamily="49" charset="-78"/>
            </a:rPr>
            <a:t>Lesson </a:t>
          </a:r>
          <a:r>
            <a:rPr lang="en-US" altLang="ja-JP" sz="2800" b="0" i="0" u="sng" kern="10" cap="none" spc="0">
              <a:ln w="0">
                <a:gradFill flip="none" rotWithShape="1">
                  <a:gsLst>
                    <a:gs pos="0">
                      <a:schemeClr val="accent3">
                        <a:lumMod val="89000"/>
                      </a:schemeClr>
                    </a:gs>
                    <a:gs pos="23000">
                      <a:schemeClr val="accent3">
                        <a:lumMod val="89000"/>
                      </a:schemeClr>
                    </a:gs>
                    <a:gs pos="69000">
                      <a:schemeClr val="accent3">
                        <a:lumMod val="75000"/>
                      </a:schemeClr>
                    </a:gs>
                    <a:gs pos="97000">
                      <a:schemeClr val="accent3">
                        <a:lumMod val="70000"/>
                      </a:schemeClr>
                    </a:gs>
                  </a:gsLst>
                  <a:path path="circle">
                    <a:fillToRect l="50000" t="50000" r="50000" b="50000"/>
                  </a:path>
                  <a:tileRect/>
                </a:gradFill>
              </a:ln>
              <a:solidFill>
                <a:srgbClr val="FF0000"/>
              </a:solidFill>
              <a:effectLst>
                <a:outerShdw blurRad="38100" dist="19050" dir="2700000" algn="tl" rotWithShape="0">
                  <a:srgbClr val="00B050">
                    <a:alpha val="40000"/>
                  </a:srgbClr>
                </a:outerShdw>
              </a:effectLst>
              <a:latin typeface="Hiragino Kaku Gothic Std W8" panose="020B0800000000000000" pitchFamily="34" charset="-128"/>
              <a:ea typeface="Hiragino Kaku Gothic Std W8" panose="020B0800000000000000" pitchFamily="34" charset="-128"/>
              <a:cs typeface="Aharoni" panose="02010803020104030203" pitchFamily="2" charset="-79"/>
            </a:rPr>
            <a:t>Schedule</a:t>
          </a:r>
          <a:endParaRPr lang="ja-JP" altLang="en-US" sz="2800" b="0" i="0" u="sng" kern="10" cap="none" spc="0">
            <a:ln w="0">
              <a:gradFill flip="none" rotWithShape="1">
                <a:gsLst>
                  <a:gs pos="0">
                    <a:schemeClr val="accent3">
                      <a:lumMod val="89000"/>
                    </a:schemeClr>
                  </a:gs>
                  <a:gs pos="23000">
                    <a:schemeClr val="accent3">
                      <a:lumMod val="89000"/>
                    </a:schemeClr>
                  </a:gs>
                  <a:gs pos="69000">
                    <a:schemeClr val="accent3">
                      <a:lumMod val="75000"/>
                    </a:schemeClr>
                  </a:gs>
                  <a:gs pos="97000">
                    <a:schemeClr val="accent3">
                      <a:lumMod val="70000"/>
                    </a:schemeClr>
                  </a:gs>
                </a:gsLst>
                <a:path path="circle">
                  <a:fillToRect l="50000" t="50000" r="50000" b="50000"/>
                </a:path>
                <a:tileRect/>
              </a:gradFill>
            </a:ln>
            <a:solidFill>
              <a:srgbClr val="FF0000"/>
            </a:solidFill>
            <a:effectLst>
              <a:outerShdw blurRad="38100" dist="19050" dir="2700000" algn="tl" rotWithShape="0">
                <a:srgbClr val="00B050">
                  <a:alpha val="40000"/>
                </a:srgbClr>
              </a:outerShdw>
            </a:effectLst>
            <a:latin typeface="Hiragino Kaku Gothic Std W8" panose="020B0800000000000000" pitchFamily="34" charset="-128"/>
            <a:ea typeface="Hiragino Kaku Gothic Std W8" panose="020B0800000000000000" pitchFamily="34" charset="-128"/>
            <a:cs typeface="Aharoni" panose="02010803020104030203" pitchFamily="2" charset="-79"/>
          </a:endParaRPr>
        </a:p>
      </xdr:txBody>
    </xdr:sp>
    <xdr:clientData/>
  </xdr:twoCellAnchor>
  <xdr:twoCellAnchor editAs="oneCell">
    <xdr:from>
      <xdr:col>10</xdr:col>
      <xdr:colOff>0</xdr:colOff>
      <xdr:row>56</xdr:row>
      <xdr:rowOff>0</xdr:rowOff>
    </xdr:from>
    <xdr:to>
      <xdr:col>10</xdr:col>
      <xdr:colOff>304800</xdr:colOff>
      <xdr:row>57</xdr:row>
      <xdr:rowOff>38101</xdr:rowOff>
    </xdr:to>
    <xdr:sp macro="" textlink="">
      <xdr:nvSpPr>
        <xdr:cNvPr id="29" name="AutoShape 3" descr="ããã­ã¦ã£ã³ ã¤ã©ã¹ããã®ç»åæ¤ç´¢çµæ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7061180" y="15110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56</xdr:row>
      <xdr:rowOff>0</xdr:rowOff>
    </xdr:from>
    <xdr:to>
      <xdr:col>10</xdr:col>
      <xdr:colOff>304800</xdr:colOff>
      <xdr:row>57</xdr:row>
      <xdr:rowOff>38101</xdr:rowOff>
    </xdr:to>
    <xdr:sp macro="" textlink="">
      <xdr:nvSpPr>
        <xdr:cNvPr id="1029" name="AutoShape 5" descr="ããã­ã¦ã£ã³ ã¤ã©ã¹ããã®ç»åæ¤ç´¢çµæ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17061180" y="15110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58</xdr:row>
      <xdr:rowOff>0</xdr:rowOff>
    </xdr:from>
    <xdr:to>
      <xdr:col>10</xdr:col>
      <xdr:colOff>304800</xdr:colOff>
      <xdr:row>59</xdr:row>
      <xdr:rowOff>38101</xdr:rowOff>
    </xdr:to>
    <xdr:sp macro="" textlink="">
      <xdr:nvSpPr>
        <xdr:cNvPr id="32" name="AutoShape 7" descr="ããã­ã¦ã£ã³ ã¤ã©ã¹ããã®ç»åæ¤ç´¢çµæ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7061180" y="156438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32</xdr:row>
      <xdr:rowOff>0</xdr:rowOff>
    </xdr:from>
    <xdr:ext cx="304800" cy="292101"/>
    <xdr:sp macro="" textlink="">
      <xdr:nvSpPr>
        <xdr:cNvPr id="46" name="AutoShape 8" descr="「9月　イラスト」の画像検索結果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9080500"/>
          <a:ext cx="304800" cy="292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36</xdr:row>
      <xdr:rowOff>0</xdr:rowOff>
    </xdr:from>
    <xdr:ext cx="304800" cy="292101"/>
    <xdr:sp macro="" textlink="">
      <xdr:nvSpPr>
        <xdr:cNvPr id="47" name="AutoShape 8" descr="「9月　イラスト」の画像検索結果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873250" y="9080500"/>
          <a:ext cx="304800" cy="292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41</xdr:row>
      <xdr:rowOff>0</xdr:rowOff>
    </xdr:from>
    <xdr:to>
      <xdr:col>20</xdr:col>
      <xdr:colOff>304800</xdr:colOff>
      <xdr:row>42</xdr:row>
      <xdr:rowOff>38100</xdr:rowOff>
    </xdr:to>
    <xdr:sp macro="" textlink="">
      <xdr:nvSpPr>
        <xdr:cNvPr id="40" name="AutoShape 5" descr="ãç´«é½è±ãã¤ã©ã¹ããããªã¼ç´ æãã®ç»åæ¤ç´¢çµæ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32394525" y="11506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10</xdr:col>
      <xdr:colOff>0</xdr:colOff>
      <xdr:row>62</xdr:row>
      <xdr:rowOff>0</xdr:rowOff>
    </xdr:from>
    <xdr:ext cx="304800" cy="304801"/>
    <xdr:sp macro="" textlink="">
      <xdr:nvSpPr>
        <xdr:cNvPr id="49" name="AutoShape 7" descr="ããã­ã¦ã£ã³ ã¤ã©ã¹ããã®ç»åæ¤ç´¢çµæ">
          <a:extLst>
            <a:ext uri="{FF2B5EF4-FFF2-40B4-BE49-F238E27FC236}">
              <a16:creationId xmlns:a16="http://schemas.microsoft.com/office/drawing/2014/main" id="{D5ECAB05-A1F6-4409-8C54-DB2988D6B67C}"/>
            </a:ext>
          </a:extLst>
        </xdr:cNvPr>
        <xdr:cNvSpPr>
          <a:spLocks noChangeAspect="1" noChangeArrowheads="1"/>
        </xdr:cNvSpPr>
      </xdr:nvSpPr>
      <xdr:spPr bwMode="auto">
        <a:xfrm>
          <a:off x="20015200" y="15976600"/>
          <a:ext cx="304800" cy="304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809857</xdr:colOff>
      <xdr:row>37</xdr:row>
      <xdr:rowOff>101555</xdr:rowOff>
    </xdr:from>
    <xdr:to>
      <xdr:col>3</xdr:col>
      <xdr:colOff>1554923</xdr:colOff>
      <xdr:row>45</xdr:row>
      <xdr:rowOff>214194</xdr:rowOff>
    </xdr:to>
    <xdr:pic>
      <xdr:nvPicPr>
        <xdr:cNvPr id="42" name="図 41">
          <a:extLst>
            <a:ext uri="{FF2B5EF4-FFF2-40B4-BE49-F238E27FC236}">
              <a16:creationId xmlns:a16="http://schemas.microsoft.com/office/drawing/2014/main" id="{9B112CD3-2D69-014C-B125-C03908D2C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chemeClr val="accent2">
              <a:tint val="45000"/>
              <a:satMod val="400000"/>
            </a:schemeClr>
          </a:duotone>
        </a:blip>
        <a:stretch>
          <a:fillRect/>
        </a:stretch>
      </xdr:blipFill>
      <xdr:spPr>
        <a:xfrm>
          <a:off x="2171886" y="10114309"/>
          <a:ext cx="3137820" cy="2174088"/>
        </a:xfrm>
        <a:prstGeom prst="rect">
          <a:avLst/>
        </a:prstGeom>
      </xdr:spPr>
    </xdr:pic>
    <xdr:clientData/>
  </xdr:twoCellAnchor>
  <xdr:twoCellAnchor>
    <xdr:from>
      <xdr:col>2</xdr:col>
      <xdr:colOff>1288404</xdr:colOff>
      <xdr:row>39</xdr:row>
      <xdr:rowOff>202464</xdr:rowOff>
    </xdr:from>
    <xdr:to>
      <xdr:col>3</xdr:col>
      <xdr:colOff>1601303</xdr:colOff>
      <xdr:row>43</xdr:row>
      <xdr:rowOff>184058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F67C178-FDC3-8946-B24A-C7D1C50F2A0B}"/>
            </a:ext>
          </a:extLst>
        </xdr:cNvPr>
        <xdr:cNvSpPr txBox="1"/>
      </xdr:nvSpPr>
      <xdr:spPr>
        <a:xfrm>
          <a:off x="2650433" y="10730580"/>
          <a:ext cx="2705653" cy="1012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/>
            <a:t>　新規開講！</a:t>
          </a:r>
          <a:endParaRPr kumimoji="1" lang="en-US" altLang="ja-JP" sz="2400"/>
        </a:p>
      </xdr:txBody>
    </xdr:sp>
    <xdr:clientData/>
  </xdr:twoCellAnchor>
  <xdr:twoCellAnchor>
    <xdr:from>
      <xdr:col>4</xdr:col>
      <xdr:colOff>1348778</xdr:colOff>
      <xdr:row>39</xdr:row>
      <xdr:rowOff>226024</xdr:rowOff>
    </xdr:from>
    <xdr:to>
      <xdr:col>5</xdr:col>
      <xdr:colOff>1459214</xdr:colOff>
      <xdr:row>43</xdr:row>
      <xdr:rowOff>207618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B64CBA15-414D-724D-8A7A-7E06D145A057}"/>
            </a:ext>
          </a:extLst>
        </xdr:cNvPr>
        <xdr:cNvSpPr txBox="1"/>
      </xdr:nvSpPr>
      <xdr:spPr>
        <a:xfrm>
          <a:off x="7698778" y="10754140"/>
          <a:ext cx="2705653" cy="1012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2400"/>
        </a:p>
      </xdr:txBody>
    </xdr:sp>
    <xdr:clientData/>
  </xdr:twoCellAnchor>
  <xdr:twoCellAnchor editAs="oneCell">
    <xdr:from>
      <xdr:col>5</xdr:col>
      <xdr:colOff>1619710</xdr:colOff>
      <xdr:row>41</xdr:row>
      <xdr:rowOff>128840</xdr:rowOff>
    </xdr:from>
    <xdr:to>
      <xdr:col>6</xdr:col>
      <xdr:colOff>2162312</xdr:colOff>
      <xdr:row>49</xdr:row>
      <xdr:rowOff>20606</xdr:rowOff>
    </xdr:to>
    <xdr:pic>
      <xdr:nvPicPr>
        <xdr:cNvPr id="56" name="図 55">
          <a:extLst>
            <a:ext uri="{FF2B5EF4-FFF2-40B4-BE49-F238E27FC236}">
              <a16:creationId xmlns:a16="http://schemas.microsoft.com/office/drawing/2014/main" id="{95B40810-C753-0446-A1C0-9F11E7C0D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chemeClr val="accent5">
              <a:tint val="45000"/>
              <a:satMod val="400000"/>
            </a:schemeClr>
          </a:duotone>
        </a:blip>
        <a:stretch>
          <a:fillRect/>
        </a:stretch>
      </xdr:blipFill>
      <xdr:spPr>
        <a:xfrm>
          <a:off x="10564927" y="11172318"/>
          <a:ext cx="3137820" cy="1953216"/>
        </a:xfrm>
        <a:prstGeom prst="rect">
          <a:avLst/>
        </a:prstGeom>
      </xdr:spPr>
    </xdr:pic>
    <xdr:clientData/>
  </xdr:twoCellAnchor>
  <xdr:twoCellAnchor>
    <xdr:from>
      <xdr:col>5</xdr:col>
      <xdr:colOff>2098257</xdr:colOff>
      <xdr:row>43</xdr:row>
      <xdr:rowOff>137718</xdr:rowOff>
    </xdr:from>
    <xdr:to>
      <xdr:col>6</xdr:col>
      <xdr:colOff>2208692</xdr:colOff>
      <xdr:row>47</xdr:row>
      <xdr:rowOff>119313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B121D65B-5306-1F47-BAB0-1C3AD0A27F43}"/>
            </a:ext>
          </a:extLst>
        </xdr:cNvPr>
        <xdr:cNvSpPr txBox="1"/>
      </xdr:nvSpPr>
      <xdr:spPr>
        <a:xfrm>
          <a:off x="11043474" y="11696559"/>
          <a:ext cx="2705653" cy="1012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/>
            <a:t>　新規開講！</a:t>
          </a:r>
          <a:endParaRPr kumimoji="1" lang="en-US" altLang="ja-JP" sz="2400"/>
        </a:p>
      </xdr:txBody>
    </xdr:sp>
    <xdr:clientData/>
  </xdr:twoCellAnchor>
  <xdr:twoCellAnchor editAs="oneCell">
    <xdr:from>
      <xdr:col>9</xdr:col>
      <xdr:colOff>1854200</xdr:colOff>
      <xdr:row>52</xdr:row>
      <xdr:rowOff>200024</xdr:rowOff>
    </xdr:from>
    <xdr:to>
      <xdr:col>13</xdr:col>
      <xdr:colOff>0</xdr:colOff>
      <xdr:row>67</xdr:row>
      <xdr:rowOff>76199</xdr:rowOff>
    </xdr:to>
    <xdr:pic>
      <xdr:nvPicPr>
        <xdr:cNvPr id="41" name="図 40">
          <a:extLst>
            <a:ext uri="{FF2B5EF4-FFF2-40B4-BE49-F238E27FC236}">
              <a16:creationId xmlns:a16="http://schemas.microsoft.com/office/drawing/2014/main" id="{0C019D5E-C43E-5747-8EF2-E3939FEB5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158200" y="15109824"/>
          <a:ext cx="5689600" cy="4067175"/>
        </a:xfrm>
        <a:prstGeom prst="rect">
          <a:avLst/>
        </a:prstGeom>
      </xdr:spPr>
    </xdr:pic>
    <xdr:clientData/>
  </xdr:twoCellAnchor>
  <xdr:twoCellAnchor editAs="oneCell">
    <xdr:from>
      <xdr:col>2</xdr:col>
      <xdr:colOff>812800</xdr:colOff>
      <xdr:row>20</xdr:row>
      <xdr:rowOff>37904</xdr:rowOff>
    </xdr:from>
    <xdr:to>
      <xdr:col>3</xdr:col>
      <xdr:colOff>685800</xdr:colOff>
      <xdr:row>25</xdr:row>
      <xdr:rowOff>101599</xdr:rowOff>
    </xdr:to>
    <xdr:pic>
      <xdr:nvPicPr>
        <xdr:cNvPr id="44" name="図 43">
          <a:extLst>
            <a:ext uri="{FF2B5EF4-FFF2-40B4-BE49-F238E27FC236}">
              <a16:creationId xmlns:a16="http://schemas.microsoft.com/office/drawing/2014/main" id="{7EDDF9F7-B574-A74E-BD3C-926A3ECC4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84400" y="6006904"/>
          <a:ext cx="2260600" cy="1460695"/>
        </a:xfrm>
        <a:prstGeom prst="rect">
          <a:avLst/>
        </a:prstGeom>
      </xdr:spPr>
    </xdr:pic>
    <xdr:clientData/>
  </xdr:twoCellAnchor>
  <xdr:oneCellAnchor>
    <xdr:from>
      <xdr:col>4</xdr:col>
      <xdr:colOff>381000</xdr:colOff>
      <xdr:row>2</xdr:row>
      <xdr:rowOff>228600</xdr:rowOff>
    </xdr:from>
    <xdr:ext cx="184731" cy="264560"/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21B764C8-2D1A-A045-BA11-4336A15FC01E}"/>
            </a:ext>
          </a:extLst>
        </xdr:cNvPr>
        <xdr:cNvSpPr txBox="1"/>
      </xdr:nvSpPr>
      <xdr:spPr>
        <a:xfrm>
          <a:off x="6731000" y="58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2311400</xdr:colOff>
      <xdr:row>16</xdr:row>
      <xdr:rowOff>0</xdr:rowOff>
    </xdr:from>
    <xdr:ext cx="184731" cy="264560"/>
    <xdr:sp macro="" textlink="">
      <xdr:nvSpPr>
        <xdr:cNvPr id="1024" name="テキスト ボックス 1023">
          <a:extLst>
            <a:ext uri="{FF2B5EF4-FFF2-40B4-BE49-F238E27FC236}">
              <a16:creationId xmlns:a16="http://schemas.microsoft.com/office/drawing/2014/main" id="{C64E6DDC-48DB-0C4F-85A7-A6F2FB979192}"/>
            </a:ext>
          </a:extLst>
        </xdr:cNvPr>
        <xdr:cNvSpPr txBox="1"/>
      </xdr:nvSpPr>
      <xdr:spPr>
        <a:xfrm>
          <a:off x="13843000" y="434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2311400</xdr:colOff>
      <xdr:row>16</xdr:row>
      <xdr:rowOff>0</xdr:rowOff>
    </xdr:from>
    <xdr:ext cx="184731" cy="264560"/>
    <xdr:sp macro="" textlink="">
      <xdr:nvSpPr>
        <xdr:cNvPr id="1025" name="テキスト ボックス 1024">
          <a:extLst>
            <a:ext uri="{FF2B5EF4-FFF2-40B4-BE49-F238E27FC236}">
              <a16:creationId xmlns:a16="http://schemas.microsoft.com/office/drawing/2014/main" id="{A4BB6BC7-D01C-1946-962F-2971DCF0D572}"/>
            </a:ext>
          </a:extLst>
        </xdr:cNvPr>
        <xdr:cNvSpPr txBox="1"/>
      </xdr:nvSpPr>
      <xdr:spPr>
        <a:xfrm>
          <a:off x="13843000" y="434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2311400</xdr:colOff>
      <xdr:row>16</xdr:row>
      <xdr:rowOff>0</xdr:rowOff>
    </xdr:from>
    <xdr:ext cx="184731" cy="264560"/>
    <xdr:sp macro="" textlink="">
      <xdr:nvSpPr>
        <xdr:cNvPr id="1026" name="テキスト ボックス 1025">
          <a:extLst>
            <a:ext uri="{FF2B5EF4-FFF2-40B4-BE49-F238E27FC236}">
              <a16:creationId xmlns:a16="http://schemas.microsoft.com/office/drawing/2014/main" id="{132B100A-BDD0-C746-B7A2-EB36B95F1156}"/>
            </a:ext>
          </a:extLst>
        </xdr:cNvPr>
        <xdr:cNvSpPr txBox="1"/>
      </xdr:nvSpPr>
      <xdr:spPr>
        <a:xfrm>
          <a:off x="13843000" y="434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2311400</xdr:colOff>
      <xdr:row>16</xdr:row>
      <xdr:rowOff>0</xdr:rowOff>
    </xdr:from>
    <xdr:ext cx="184731" cy="264560"/>
    <xdr:sp macro="" textlink="">
      <xdr:nvSpPr>
        <xdr:cNvPr id="1028" name="テキスト ボックス 1027">
          <a:extLst>
            <a:ext uri="{FF2B5EF4-FFF2-40B4-BE49-F238E27FC236}">
              <a16:creationId xmlns:a16="http://schemas.microsoft.com/office/drawing/2014/main" id="{7D4D2C29-EF27-8D48-890C-03F0D1C6F64B}"/>
            </a:ext>
          </a:extLst>
        </xdr:cNvPr>
        <xdr:cNvSpPr txBox="1"/>
      </xdr:nvSpPr>
      <xdr:spPr>
        <a:xfrm>
          <a:off x="13843000" y="434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2311400</xdr:colOff>
      <xdr:row>16</xdr:row>
      <xdr:rowOff>0</xdr:rowOff>
    </xdr:from>
    <xdr:ext cx="184731" cy="264560"/>
    <xdr:sp macro="" textlink="">
      <xdr:nvSpPr>
        <xdr:cNvPr id="1030" name="テキスト ボックス 1029">
          <a:extLst>
            <a:ext uri="{FF2B5EF4-FFF2-40B4-BE49-F238E27FC236}">
              <a16:creationId xmlns:a16="http://schemas.microsoft.com/office/drawing/2014/main" id="{9EE04492-A2BF-6947-8238-BC8051C18AD9}"/>
            </a:ext>
          </a:extLst>
        </xdr:cNvPr>
        <xdr:cNvSpPr txBox="1"/>
      </xdr:nvSpPr>
      <xdr:spPr>
        <a:xfrm>
          <a:off x="13843000" y="434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2311400</xdr:colOff>
      <xdr:row>16</xdr:row>
      <xdr:rowOff>0</xdr:rowOff>
    </xdr:from>
    <xdr:ext cx="184731" cy="264560"/>
    <xdr:sp macro="" textlink="">
      <xdr:nvSpPr>
        <xdr:cNvPr id="1033" name="テキスト ボックス 1032">
          <a:extLst>
            <a:ext uri="{FF2B5EF4-FFF2-40B4-BE49-F238E27FC236}">
              <a16:creationId xmlns:a16="http://schemas.microsoft.com/office/drawing/2014/main" id="{60712FC4-AC14-EB48-8093-C26400C55C15}"/>
            </a:ext>
          </a:extLst>
        </xdr:cNvPr>
        <xdr:cNvSpPr txBox="1"/>
      </xdr:nvSpPr>
      <xdr:spPr>
        <a:xfrm>
          <a:off x="13843000" y="434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2311400</xdr:colOff>
      <xdr:row>16</xdr:row>
      <xdr:rowOff>0</xdr:rowOff>
    </xdr:from>
    <xdr:ext cx="184731" cy="264560"/>
    <xdr:sp macro="" textlink="">
      <xdr:nvSpPr>
        <xdr:cNvPr id="1034" name="テキスト ボックス 1033">
          <a:extLst>
            <a:ext uri="{FF2B5EF4-FFF2-40B4-BE49-F238E27FC236}">
              <a16:creationId xmlns:a16="http://schemas.microsoft.com/office/drawing/2014/main" id="{2CF19E37-5EA3-7747-98CD-E9C1EAAA2497}"/>
            </a:ext>
          </a:extLst>
        </xdr:cNvPr>
        <xdr:cNvSpPr txBox="1"/>
      </xdr:nvSpPr>
      <xdr:spPr>
        <a:xfrm>
          <a:off x="13843000" y="434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2311400</xdr:colOff>
      <xdr:row>16</xdr:row>
      <xdr:rowOff>0</xdr:rowOff>
    </xdr:from>
    <xdr:ext cx="184731" cy="264560"/>
    <xdr:sp macro="" textlink="">
      <xdr:nvSpPr>
        <xdr:cNvPr id="1035" name="テキスト ボックス 1034">
          <a:extLst>
            <a:ext uri="{FF2B5EF4-FFF2-40B4-BE49-F238E27FC236}">
              <a16:creationId xmlns:a16="http://schemas.microsoft.com/office/drawing/2014/main" id="{EEEF46B7-11A9-4648-B675-33E3A3405A67}"/>
            </a:ext>
          </a:extLst>
        </xdr:cNvPr>
        <xdr:cNvSpPr txBox="1"/>
      </xdr:nvSpPr>
      <xdr:spPr>
        <a:xfrm>
          <a:off x="13843000" y="434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 editAs="oneCell">
    <xdr:from>
      <xdr:col>8</xdr:col>
      <xdr:colOff>2409744</xdr:colOff>
      <xdr:row>18</xdr:row>
      <xdr:rowOff>195168</xdr:rowOff>
    </xdr:from>
    <xdr:to>
      <xdr:col>9</xdr:col>
      <xdr:colOff>2540000</xdr:colOff>
      <xdr:row>28</xdr:row>
      <xdr:rowOff>26942</xdr:rowOff>
    </xdr:to>
    <xdr:pic>
      <xdr:nvPicPr>
        <xdr:cNvPr id="1037" name="図 1036">
          <a:extLst>
            <a:ext uri="{FF2B5EF4-FFF2-40B4-BE49-F238E27FC236}">
              <a16:creationId xmlns:a16="http://schemas.microsoft.com/office/drawing/2014/main" id="{77CF3E6E-ED52-9B4D-948A-4C862E8B8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180257" y="5177476"/>
          <a:ext cx="2735384" cy="2567158"/>
        </a:xfrm>
        <a:prstGeom prst="rect">
          <a:avLst/>
        </a:prstGeom>
      </xdr:spPr>
    </xdr:pic>
    <xdr:clientData/>
  </xdr:twoCellAnchor>
  <xdr:twoCellAnchor editAs="oneCell">
    <xdr:from>
      <xdr:col>8</xdr:col>
      <xdr:colOff>1856152</xdr:colOff>
      <xdr:row>18</xdr:row>
      <xdr:rowOff>325641</xdr:rowOff>
    </xdr:from>
    <xdr:to>
      <xdr:col>10</xdr:col>
      <xdr:colOff>97691</xdr:colOff>
      <xdr:row>31</xdr:row>
      <xdr:rowOff>6592</xdr:rowOff>
    </xdr:to>
    <xdr:pic>
      <xdr:nvPicPr>
        <xdr:cNvPr id="1041" name="図 1040">
          <a:extLst>
            <a:ext uri="{FF2B5EF4-FFF2-40B4-BE49-F238E27FC236}">
              <a16:creationId xmlns:a16="http://schemas.microsoft.com/office/drawing/2014/main" id="{D6949DAC-7BDE-EF41-96BA-0DD5A64A3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8626665" y="5307949"/>
          <a:ext cx="3451795" cy="3197874"/>
        </a:xfrm>
        <a:prstGeom prst="rect">
          <a:avLst/>
        </a:prstGeom>
      </xdr:spPr>
    </xdr:pic>
    <xdr:clientData/>
  </xdr:twoCellAnchor>
  <xdr:twoCellAnchor editAs="oneCell">
    <xdr:from>
      <xdr:col>7</xdr:col>
      <xdr:colOff>1009487</xdr:colOff>
      <xdr:row>18</xdr:row>
      <xdr:rowOff>358205</xdr:rowOff>
    </xdr:from>
    <xdr:to>
      <xdr:col>8</xdr:col>
      <xdr:colOff>1856154</xdr:colOff>
      <xdr:row>31</xdr:row>
      <xdr:rowOff>39156</xdr:rowOff>
    </xdr:to>
    <xdr:pic>
      <xdr:nvPicPr>
        <xdr:cNvPr id="85" name="図 84">
          <a:extLst>
            <a:ext uri="{FF2B5EF4-FFF2-40B4-BE49-F238E27FC236}">
              <a16:creationId xmlns:a16="http://schemas.microsoft.com/office/drawing/2014/main" id="{52321DE8-84CB-6C4A-9168-865B882230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174872" y="5340513"/>
          <a:ext cx="3451795" cy="3197874"/>
        </a:xfrm>
        <a:prstGeom prst="rect">
          <a:avLst/>
        </a:prstGeom>
      </xdr:spPr>
    </xdr:pic>
    <xdr:clientData/>
  </xdr:twoCellAnchor>
  <xdr:twoCellAnchor editAs="oneCell">
    <xdr:from>
      <xdr:col>6</xdr:col>
      <xdr:colOff>162821</xdr:colOff>
      <xdr:row>19</xdr:row>
      <xdr:rowOff>0</xdr:rowOff>
    </xdr:from>
    <xdr:to>
      <xdr:col>7</xdr:col>
      <xdr:colOff>1009487</xdr:colOff>
      <xdr:row>31</xdr:row>
      <xdr:rowOff>71720</xdr:rowOff>
    </xdr:to>
    <xdr:pic>
      <xdr:nvPicPr>
        <xdr:cNvPr id="86" name="図 85">
          <a:extLst>
            <a:ext uri="{FF2B5EF4-FFF2-40B4-BE49-F238E27FC236}">
              <a16:creationId xmlns:a16="http://schemas.microsoft.com/office/drawing/2014/main" id="{30315339-8BDF-F84F-BA74-ABDB785FFF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723077" y="5373077"/>
          <a:ext cx="3451795" cy="3197874"/>
        </a:xfrm>
        <a:prstGeom prst="rect">
          <a:avLst/>
        </a:prstGeom>
      </xdr:spPr>
    </xdr:pic>
    <xdr:clientData/>
  </xdr:twoCellAnchor>
  <xdr:twoCellAnchor editAs="oneCell">
    <xdr:from>
      <xdr:col>4</xdr:col>
      <xdr:colOff>1953847</xdr:colOff>
      <xdr:row>19</xdr:row>
      <xdr:rowOff>-1</xdr:rowOff>
    </xdr:from>
    <xdr:to>
      <xdr:col>6</xdr:col>
      <xdr:colOff>195386</xdr:colOff>
      <xdr:row>31</xdr:row>
      <xdr:rowOff>71719</xdr:rowOff>
    </xdr:to>
    <xdr:pic>
      <xdr:nvPicPr>
        <xdr:cNvPr id="87" name="図 86">
          <a:extLst>
            <a:ext uri="{FF2B5EF4-FFF2-40B4-BE49-F238E27FC236}">
              <a16:creationId xmlns:a16="http://schemas.microsoft.com/office/drawing/2014/main" id="{86A73F1C-0769-C94B-B0C3-6D56D39EF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303847" y="5373076"/>
          <a:ext cx="3451795" cy="3197874"/>
        </a:xfrm>
        <a:prstGeom prst="rect">
          <a:avLst/>
        </a:prstGeom>
      </xdr:spPr>
    </xdr:pic>
    <xdr:clientData/>
  </xdr:twoCellAnchor>
  <xdr:twoCellAnchor editAs="oneCell">
    <xdr:from>
      <xdr:col>3</xdr:col>
      <xdr:colOff>1107180</xdr:colOff>
      <xdr:row>19</xdr:row>
      <xdr:rowOff>0</xdr:rowOff>
    </xdr:from>
    <xdr:to>
      <xdr:col>4</xdr:col>
      <xdr:colOff>1953847</xdr:colOff>
      <xdr:row>31</xdr:row>
      <xdr:rowOff>71720</xdr:rowOff>
    </xdr:to>
    <xdr:pic>
      <xdr:nvPicPr>
        <xdr:cNvPr id="88" name="図 87">
          <a:extLst>
            <a:ext uri="{FF2B5EF4-FFF2-40B4-BE49-F238E27FC236}">
              <a16:creationId xmlns:a16="http://schemas.microsoft.com/office/drawing/2014/main" id="{1D8100E4-8181-B341-985E-3EF52491C4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52052" y="5373077"/>
          <a:ext cx="3451795" cy="3197874"/>
        </a:xfrm>
        <a:prstGeom prst="rect">
          <a:avLst/>
        </a:prstGeom>
      </xdr:spPr>
    </xdr:pic>
    <xdr:clientData/>
  </xdr:twoCellAnchor>
  <xdr:twoCellAnchor editAs="oneCell">
    <xdr:from>
      <xdr:col>2</xdr:col>
      <xdr:colOff>32564</xdr:colOff>
      <xdr:row>19</xdr:row>
      <xdr:rowOff>-1</xdr:rowOff>
    </xdr:from>
    <xdr:to>
      <xdr:col>3</xdr:col>
      <xdr:colOff>1107179</xdr:colOff>
      <xdr:row>31</xdr:row>
      <xdr:rowOff>71719</xdr:rowOff>
    </xdr:to>
    <xdr:pic>
      <xdr:nvPicPr>
        <xdr:cNvPr id="91" name="図 90">
          <a:extLst>
            <a:ext uri="{FF2B5EF4-FFF2-40B4-BE49-F238E27FC236}">
              <a16:creationId xmlns:a16="http://schemas.microsoft.com/office/drawing/2014/main" id="{D73DAB18-E790-3E4D-91A0-966E55C1D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00256" y="5373076"/>
          <a:ext cx="3451795" cy="3197874"/>
        </a:xfrm>
        <a:prstGeom prst="rect">
          <a:avLst/>
        </a:prstGeom>
      </xdr:spPr>
    </xdr:pic>
    <xdr:clientData/>
  </xdr:twoCellAnchor>
  <xdr:twoCellAnchor editAs="oneCell">
    <xdr:from>
      <xdr:col>2</xdr:col>
      <xdr:colOff>65128</xdr:colOff>
      <xdr:row>56</xdr:row>
      <xdr:rowOff>32562</xdr:rowOff>
    </xdr:from>
    <xdr:to>
      <xdr:col>3</xdr:col>
      <xdr:colOff>20168</xdr:colOff>
      <xdr:row>64</xdr:row>
      <xdr:rowOff>213618</xdr:rowOff>
    </xdr:to>
    <xdr:pic>
      <xdr:nvPicPr>
        <xdr:cNvPr id="1046" name="図 1045">
          <a:extLst>
            <a:ext uri="{FF2B5EF4-FFF2-40B4-BE49-F238E27FC236}">
              <a16:creationId xmlns:a16="http://schemas.microsoft.com/office/drawing/2014/main" id="{E255D407-2B97-434C-9BDB-A5CD47D6B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32820" y="15044613"/>
          <a:ext cx="2332220" cy="22651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ln>
          <a:noFill/>
          <a:headEnd/>
          <a:tailEnd/>
        </a:ln>
      </a:spPr>
      <a:bodyPr vertOverflow="clip" wrap="square" lIns="73152" tIns="36576" rIns="73152" bIns="36576" anchor="ctr" upright="1">
        <a:scene3d>
          <a:camera prst="orthographicFront"/>
          <a:lightRig rig="morning" dir="t"/>
        </a:scene3d>
        <a:sp3d extrusionH="57150" contourW="12700" prstMaterial="matte">
          <a:bevelT w="31750"/>
          <a:extrusionClr>
            <a:srgbClr val="FFFF00"/>
          </a:extrusionClr>
          <a:contourClr>
            <a:srgbClr val="FFC000"/>
          </a:contourClr>
        </a:sp3d>
      </a:bodyPr>
      <a:lstStyle>
        <a:defPPr algn="l" rtl="0">
          <a:lnSpc>
            <a:spcPts val="4100"/>
          </a:lnSpc>
          <a:defRPr sz="4400" b="1" i="0" u="none" strike="noStrike" cap="none" spc="0" baseline="0">
            <a:ln w="18000" cap="rnd">
              <a:gradFill>
                <a:gsLst>
                  <a:gs pos="0">
                    <a:srgbClr val="FFFF00"/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prstDash val="solid"/>
              <a:bevel/>
            </a:ln>
            <a:solidFill>
              <a:srgbClr val="FFFF00"/>
            </a:solidFill>
            <a:effectLst>
              <a:outerShdw blurRad="25500" dist="23000" dir="21540000" algn="tl">
                <a:srgbClr val="FFC000">
                  <a:alpha val="50000"/>
                </a:srgbClr>
              </a:outerShdw>
            </a:effectLst>
            <a:latin typeface="HGS創英角ﾎﾟｯﾌﾟ体" pitchFamily="50" charset="-128"/>
            <a:ea typeface="HGS創英角ﾎﾟｯﾌﾟ体" pitchFamily="50" charset="-128"/>
          </a:defRPr>
        </a:defPPr>
      </a:lstStyle>
      <a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IV2"/>
  <sheetViews>
    <sheetView workbookViewId="0">
      <selection activeCell="HA2" sqref="HA2"/>
    </sheetView>
  </sheetViews>
  <sheetFormatPr baseColWidth="10" defaultColWidth="8.83203125" defaultRowHeight="14"/>
  <sheetData>
    <row r="1" spans="1:256">
      <c r="A1" t="e">
        <f>IF(#REF!,"AAAAAH/avgA=",0)</f>
        <v>#REF!</v>
      </c>
      <c r="B1" t="e">
        <f>AND(#REF!,"AAAAAH/avgE=")</f>
        <v>#REF!</v>
      </c>
      <c r="C1" t="e">
        <f>AND(#REF!,"AAAAAH/avgI=")</f>
        <v>#REF!</v>
      </c>
      <c r="D1" t="e">
        <f>AND(#REF!,"AAAAAH/avgM=")</f>
        <v>#REF!</v>
      </c>
      <c r="E1" t="e">
        <f>AND(#REF!,"AAAAAH/avgQ=")</f>
        <v>#REF!</v>
      </c>
      <c r="F1" t="e">
        <f>AND(#REF!,"AAAAAH/avgU=")</f>
        <v>#REF!</v>
      </c>
      <c r="G1" t="e">
        <f>AND(#REF!,"AAAAAH/avgY=")</f>
        <v>#REF!</v>
      </c>
      <c r="H1" t="e">
        <f>AND(#REF!,"AAAAAH/avgc=")</f>
        <v>#REF!</v>
      </c>
      <c r="I1" t="e">
        <f>AND(#REF!,"AAAAAH/avgg=")</f>
        <v>#REF!</v>
      </c>
      <c r="J1" t="e">
        <f>AND(#REF!,"AAAAAH/avgk=")</f>
        <v>#REF!</v>
      </c>
      <c r="K1" t="e">
        <f>AND(#REF!,"AAAAAH/avgo=")</f>
        <v>#REF!</v>
      </c>
      <c r="L1" t="e">
        <f>AND(#REF!,"AAAAAH/avgs=")</f>
        <v>#REF!</v>
      </c>
      <c r="M1" t="e">
        <f>AND(#REF!,"AAAAAH/avgw=")</f>
        <v>#REF!</v>
      </c>
      <c r="N1" t="e">
        <f>AND(#REF!,"AAAAAH/avg0=")</f>
        <v>#REF!</v>
      </c>
      <c r="O1" t="e">
        <f>AND(#REF!,"AAAAAH/avg4=")</f>
        <v>#REF!</v>
      </c>
      <c r="P1" t="e">
        <f>AND(#REF!,"AAAAAH/avg8=")</f>
        <v>#REF!</v>
      </c>
      <c r="Q1" t="e">
        <f>AND(#REF!,"AAAAAH/avhA=")</f>
        <v>#REF!</v>
      </c>
      <c r="R1" t="e">
        <f>IF(#REF!,"AAAAAH/avhE=",0)</f>
        <v>#REF!</v>
      </c>
      <c r="S1" t="e">
        <f>AND(#REF!,"AAAAAH/avhI=")</f>
        <v>#REF!</v>
      </c>
      <c r="T1" t="e">
        <f>AND(#REF!,"AAAAAH/avhM=")</f>
        <v>#REF!</v>
      </c>
      <c r="U1" t="e">
        <f>AND(#REF!,"AAAAAH/avhQ=")</f>
        <v>#REF!</v>
      </c>
      <c r="V1" t="e">
        <f>AND(#REF!,"AAAAAH/avhU=")</f>
        <v>#REF!</v>
      </c>
      <c r="W1" t="e">
        <f>AND(#REF!,"AAAAAH/avhY=")</f>
        <v>#REF!</v>
      </c>
      <c r="X1" t="e">
        <f>AND(#REF!,"AAAAAH/avhc=")</f>
        <v>#REF!</v>
      </c>
      <c r="Y1" t="e">
        <f>AND(#REF!,"AAAAAH/avhg=")</f>
        <v>#REF!</v>
      </c>
      <c r="Z1" t="e">
        <f>AND(#REF!,"AAAAAH/avhk=")</f>
        <v>#REF!</v>
      </c>
      <c r="AA1" t="e">
        <f>AND(#REF!,"AAAAAH/avho=")</f>
        <v>#REF!</v>
      </c>
      <c r="AB1" t="e">
        <f>AND(#REF!,"AAAAAH/avhs=")</f>
        <v>#REF!</v>
      </c>
      <c r="AC1" t="e">
        <f>AND(#REF!,"AAAAAH/avhw=")</f>
        <v>#REF!</v>
      </c>
      <c r="AD1" t="e">
        <f>AND(#REF!,"AAAAAH/avh0=")</f>
        <v>#REF!</v>
      </c>
      <c r="AE1" t="e">
        <f>AND(#REF!,"AAAAAH/avh4=")</f>
        <v>#REF!</v>
      </c>
      <c r="AF1" t="e">
        <f>AND(#REF!,"AAAAAH/avh8=")</f>
        <v>#REF!</v>
      </c>
      <c r="AG1" t="e">
        <f>AND(#REF!,"AAAAAH/aviA=")</f>
        <v>#REF!</v>
      </c>
      <c r="AH1" t="e">
        <f>AND(#REF!,"AAAAAH/aviE=")</f>
        <v>#REF!</v>
      </c>
      <c r="AI1" t="e">
        <f>IF(#REF!,"AAAAAH/aviI=",0)</f>
        <v>#REF!</v>
      </c>
      <c r="AJ1" t="e">
        <f>AND(#REF!,"AAAAAH/aviM=")</f>
        <v>#REF!</v>
      </c>
      <c r="AK1" t="e">
        <f>AND(#REF!,"AAAAAH/aviQ=")</f>
        <v>#REF!</v>
      </c>
      <c r="AL1" t="e">
        <f>AND(#REF!,"AAAAAH/aviU=")</f>
        <v>#REF!</v>
      </c>
      <c r="AM1" t="e">
        <f>AND(#REF!,"AAAAAH/aviY=")</f>
        <v>#REF!</v>
      </c>
      <c r="AN1" t="e">
        <f>AND(#REF!,"AAAAAH/avic=")</f>
        <v>#REF!</v>
      </c>
      <c r="AO1" t="e">
        <f>AND(#REF!,"AAAAAH/avig=")</f>
        <v>#REF!</v>
      </c>
      <c r="AP1" t="e">
        <f>AND(#REF!,"AAAAAH/avik=")</f>
        <v>#REF!</v>
      </c>
      <c r="AQ1" t="e">
        <f>AND(#REF!,"AAAAAH/avio=")</f>
        <v>#REF!</v>
      </c>
      <c r="AR1" t="e">
        <f>AND(#REF!,"AAAAAH/avis=")</f>
        <v>#REF!</v>
      </c>
      <c r="AS1" t="e">
        <f>AND(#REF!,"AAAAAH/aviw=")</f>
        <v>#REF!</v>
      </c>
      <c r="AT1" t="e">
        <f>AND(#REF!,"AAAAAH/avi0=")</f>
        <v>#REF!</v>
      </c>
      <c r="AU1" t="e">
        <f>AND(#REF!,"AAAAAH/avi4=")</f>
        <v>#REF!</v>
      </c>
      <c r="AV1" t="e">
        <f>AND(#REF!,"AAAAAH/avi8=")</f>
        <v>#REF!</v>
      </c>
      <c r="AW1" t="e">
        <f>AND(#REF!,"AAAAAH/avjA=")</f>
        <v>#REF!</v>
      </c>
      <c r="AX1" t="e">
        <f>AND(#REF!,"AAAAAH/avjE=")</f>
        <v>#REF!</v>
      </c>
      <c r="AY1" t="e">
        <f>AND(#REF!,"AAAAAH/avjI=")</f>
        <v>#REF!</v>
      </c>
      <c r="AZ1" t="e">
        <f>IF(#REF!,"AAAAAH/avjM=",0)</f>
        <v>#REF!</v>
      </c>
      <c r="BA1" t="e">
        <f>AND(#REF!,"AAAAAH/avjQ=")</f>
        <v>#REF!</v>
      </c>
      <c r="BB1" t="e">
        <f>AND(#REF!,"AAAAAH/avjU=")</f>
        <v>#REF!</v>
      </c>
      <c r="BC1" t="e">
        <f>AND(#REF!,"AAAAAH/avjY=")</f>
        <v>#REF!</v>
      </c>
      <c r="BD1" t="e">
        <f>AND(#REF!,"AAAAAH/avjc=")</f>
        <v>#REF!</v>
      </c>
      <c r="BE1" t="e">
        <f>AND(#REF!,"AAAAAH/avjg=")</f>
        <v>#REF!</v>
      </c>
      <c r="BF1" t="e">
        <f>AND(#REF!,"AAAAAH/avjk=")</f>
        <v>#REF!</v>
      </c>
      <c r="BG1" t="e">
        <f>AND(#REF!,"AAAAAH/avjo=")</f>
        <v>#REF!</v>
      </c>
      <c r="BH1" t="e">
        <f>AND(#REF!,"AAAAAH/avjs=")</f>
        <v>#REF!</v>
      </c>
      <c r="BI1" t="e">
        <f>AND(#REF!,"AAAAAH/avjw=")</f>
        <v>#REF!</v>
      </c>
      <c r="BJ1" t="e">
        <f>AND(#REF!,"AAAAAH/avj0=")</f>
        <v>#REF!</v>
      </c>
      <c r="BK1" t="e">
        <f>AND(#REF!,"AAAAAH/avj4=")</f>
        <v>#REF!</v>
      </c>
      <c r="BL1" t="e">
        <f>AND(#REF!,"AAAAAH/avj8=")</f>
        <v>#REF!</v>
      </c>
      <c r="BM1" t="e">
        <f>AND(#REF!,"AAAAAH/avkA=")</f>
        <v>#REF!</v>
      </c>
      <c r="BN1" t="e">
        <f>AND(#REF!,"AAAAAH/avkE=")</f>
        <v>#REF!</v>
      </c>
      <c r="BO1" t="e">
        <f>AND(#REF!,"AAAAAH/avkI=")</f>
        <v>#REF!</v>
      </c>
      <c r="BP1" t="e">
        <f>AND(#REF!,"AAAAAH/avkM=")</f>
        <v>#REF!</v>
      </c>
      <c r="BQ1" t="e">
        <f>IF(#REF!,"AAAAAH/avkQ=",0)</f>
        <v>#REF!</v>
      </c>
      <c r="BR1" t="e">
        <f>AND(#REF!,"AAAAAH/avkU=")</f>
        <v>#REF!</v>
      </c>
      <c r="BS1" t="e">
        <f>AND(#REF!,"AAAAAH/avkY=")</f>
        <v>#REF!</v>
      </c>
      <c r="BT1" t="e">
        <f>AND(#REF!,"AAAAAH/avkc=")</f>
        <v>#REF!</v>
      </c>
      <c r="BU1" t="e">
        <f>AND(#REF!,"AAAAAH/avkg=")</f>
        <v>#REF!</v>
      </c>
      <c r="BV1" t="e">
        <f>AND(#REF!,"AAAAAH/avkk=")</f>
        <v>#REF!</v>
      </c>
      <c r="BW1" t="e">
        <f>AND(#REF!,"AAAAAH/avko=")</f>
        <v>#REF!</v>
      </c>
      <c r="BX1" t="e">
        <f>AND(#REF!,"AAAAAH/avks=")</f>
        <v>#REF!</v>
      </c>
      <c r="BY1" t="e">
        <f>AND(#REF!,"AAAAAH/avkw=")</f>
        <v>#REF!</v>
      </c>
      <c r="BZ1" t="e">
        <f>AND(#REF!,"AAAAAH/avk0=")</f>
        <v>#REF!</v>
      </c>
      <c r="CA1" t="e">
        <f>AND(#REF!,"AAAAAH/avk4=")</f>
        <v>#REF!</v>
      </c>
      <c r="CB1" t="e">
        <f>AND(#REF!,"AAAAAH/avk8=")</f>
        <v>#REF!</v>
      </c>
      <c r="CC1" t="e">
        <f>AND(#REF!,"AAAAAH/avlA=")</f>
        <v>#REF!</v>
      </c>
      <c r="CD1" t="e">
        <f>AND(#REF!,"AAAAAH/avlE=")</f>
        <v>#REF!</v>
      </c>
      <c r="CE1" t="e">
        <f>AND(#REF!,"AAAAAH/avlI=")</f>
        <v>#REF!</v>
      </c>
      <c r="CF1" t="e">
        <f>AND(#REF!,"AAAAAH/avlM=")</f>
        <v>#REF!</v>
      </c>
      <c r="CG1" t="e">
        <f>AND(#REF!,"AAAAAH/avlQ=")</f>
        <v>#REF!</v>
      </c>
      <c r="CH1" t="e">
        <f>IF(#REF!,"AAAAAH/avlU=",0)</f>
        <v>#REF!</v>
      </c>
      <c r="CI1" t="e">
        <f>AND(#REF!,"AAAAAH/avlY=")</f>
        <v>#REF!</v>
      </c>
      <c r="CJ1" t="e">
        <f>AND(#REF!,"AAAAAH/avlc=")</f>
        <v>#REF!</v>
      </c>
      <c r="CK1" t="e">
        <f>AND(#REF!,"AAAAAH/avlg=")</f>
        <v>#REF!</v>
      </c>
      <c r="CL1" t="e">
        <f>AND(#REF!,"AAAAAH/avlk=")</f>
        <v>#REF!</v>
      </c>
      <c r="CM1" t="e">
        <f>AND(#REF!,"AAAAAH/avlo=")</f>
        <v>#REF!</v>
      </c>
      <c r="CN1" t="e">
        <f>AND(#REF!,"AAAAAH/avls=")</f>
        <v>#REF!</v>
      </c>
      <c r="CO1" t="e">
        <f>AND(#REF!,"AAAAAH/avlw=")</f>
        <v>#REF!</v>
      </c>
      <c r="CP1" t="e">
        <f>AND(#REF!,"AAAAAH/avl0=")</f>
        <v>#REF!</v>
      </c>
      <c r="CQ1" t="e">
        <f>AND(#REF!,"AAAAAH/avl4=")</f>
        <v>#REF!</v>
      </c>
      <c r="CR1" t="e">
        <f>AND(#REF!,"AAAAAH/avl8=")</f>
        <v>#REF!</v>
      </c>
      <c r="CS1" t="e">
        <f>AND(#REF!,"AAAAAH/avmA=")</f>
        <v>#REF!</v>
      </c>
      <c r="CT1" t="e">
        <f>AND(#REF!,"AAAAAH/avmE=")</f>
        <v>#REF!</v>
      </c>
      <c r="CU1" t="e">
        <f>AND(#REF!,"AAAAAH/avmI=")</f>
        <v>#REF!</v>
      </c>
      <c r="CV1" t="e">
        <f>AND(#REF!,"AAAAAH/avmM=")</f>
        <v>#REF!</v>
      </c>
      <c r="CW1" t="e">
        <f>AND(#REF!,"AAAAAH/avmQ=")</f>
        <v>#REF!</v>
      </c>
      <c r="CX1" t="e">
        <f>AND(#REF!,"AAAAAH/avmU=")</f>
        <v>#REF!</v>
      </c>
      <c r="CY1" t="e">
        <f>IF(#REF!,"AAAAAH/avmY=",0)</f>
        <v>#REF!</v>
      </c>
      <c r="CZ1" t="e">
        <f>AND(#REF!,"AAAAAH/avmc=")</f>
        <v>#REF!</v>
      </c>
      <c r="DA1" t="e">
        <f>AND(#REF!,"AAAAAH/avmg=")</f>
        <v>#REF!</v>
      </c>
      <c r="DB1" t="e">
        <f>AND(#REF!,"AAAAAH/avmk=")</f>
        <v>#REF!</v>
      </c>
      <c r="DC1" t="e">
        <f>AND(#REF!,"AAAAAH/avmo=")</f>
        <v>#REF!</v>
      </c>
      <c r="DD1" t="e">
        <f>AND(#REF!,"AAAAAH/avms=")</f>
        <v>#REF!</v>
      </c>
      <c r="DE1" t="e">
        <f>AND(#REF!,"AAAAAH/avmw=")</f>
        <v>#REF!</v>
      </c>
      <c r="DF1" t="e">
        <f>AND(#REF!,"AAAAAH/avm0=")</f>
        <v>#REF!</v>
      </c>
      <c r="DG1" t="e">
        <f>AND(#REF!,"AAAAAH/avm4=")</f>
        <v>#REF!</v>
      </c>
      <c r="DH1" t="e">
        <f>AND(#REF!,"AAAAAH/avm8=")</f>
        <v>#REF!</v>
      </c>
      <c r="DI1" t="e">
        <f>AND(#REF!,"AAAAAH/avnA=")</f>
        <v>#REF!</v>
      </c>
      <c r="DJ1" t="e">
        <f>AND(#REF!,"AAAAAH/avnE=")</f>
        <v>#REF!</v>
      </c>
      <c r="DK1" t="e">
        <f>AND(#REF!,"AAAAAH/avnI=")</f>
        <v>#REF!</v>
      </c>
      <c r="DL1" t="e">
        <f>AND(#REF!,"AAAAAH/avnM=")</f>
        <v>#REF!</v>
      </c>
      <c r="DM1" t="e">
        <f>AND(#REF!,"AAAAAH/avnQ=")</f>
        <v>#REF!</v>
      </c>
      <c r="DN1" t="e">
        <f>AND(#REF!,"AAAAAH/avnU=")</f>
        <v>#REF!</v>
      </c>
      <c r="DO1" t="e">
        <f>AND(#REF!,"AAAAAH/avnY=")</f>
        <v>#REF!</v>
      </c>
      <c r="DP1" t="e">
        <f>IF(#REF!,"AAAAAH/avnc=",0)</f>
        <v>#REF!</v>
      </c>
      <c r="DQ1" t="e">
        <f>AND(#REF!,"AAAAAH/avng=")</f>
        <v>#REF!</v>
      </c>
      <c r="DR1" t="e">
        <f>AND(#REF!,"AAAAAH/avnk=")</f>
        <v>#REF!</v>
      </c>
      <c r="DS1" t="e">
        <f>AND(#REF!,"AAAAAH/avno=")</f>
        <v>#REF!</v>
      </c>
      <c r="DT1" t="e">
        <f>AND(#REF!,"AAAAAH/avns=")</f>
        <v>#REF!</v>
      </c>
      <c r="DU1" t="e">
        <f>AND(#REF!,"AAAAAH/avnw=")</f>
        <v>#REF!</v>
      </c>
      <c r="DV1" t="e">
        <f>AND(#REF!,"AAAAAH/avn0=")</f>
        <v>#REF!</v>
      </c>
      <c r="DW1" t="e">
        <f>AND(#REF!,"AAAAAH/avn4=")</f>
        <v>#REF!</v>
      </c>
      <c r="DX1" t="e">
        <f>AND(#REF!,"AAAAAH/avn8=")</f>
        <v>#REF!</v>
      </c>
      <c r="DY1" t="e">
        <f>AND(#REF!,"AAAAAH/avoA=")</f>
        <v>#REF!</v>
      </c>
      <c r="DZ1" t="e">
        <f>AND(#REF!,"AAAAAH/avoE=")</f>
        <v>#REF!</v>
      </c>
      <c r="EA1" t="e">
        <f>AND(#REF!,"AAAAAH/avoI=")</f>
        <v>#REF!</v>
      </c>
      <c r="EB1" t="e">
        <f>AND(#REF!,"AAAAAH/avoM=")</f>
        <v>#REF!</v>
      </c>
      <c r="EC1" t="e">
        <f>AND(#REF!,"AAAAAH/avoQ=")</f>
        <v>#REF!</v>
      </c>
      <c r="ED1" t="e">
        <f>AND(#REF!,"AAAAAH/avoU=")</f>
        <v>#REF!</v>
      </c>
      <c r="EE1" t="e">
        <f>AND(#REF!,"AAAAAH/avoY=")</f>
        <v>#REF!</v>
      </c>
      <c r="EF1" t="e">
        <f>AND(#REF!,"AAAAAH/avoc=")</f>
        <v>#REF!</v>
      </c>
      <c r="EG1" t="e">
        <f>IF(#REF!,"AAAAAH/avog=",0)</f>
        <v>#REF!</v>
      </c>
      <c r="EH1" t="e">
        <f>AND(#REF!,"AAAAAH/avok=")</f>
        <v>#REF!</v>
      </c>
      <c r="EI1" t="e">
        <f>AND(#REF!,"AAAAAH/avoo=")</f>
        <v>#REF!</v>
      </c>
      <c r="EJ1" t="e">
        <f>AND(#REF!,"AAAAAH/avos=")</f>
        <v>#REF!</v>
      </c>
      <c r="EK1" t="e">
        <f>AND(#REF!,"AAAAAH/avow=")</f>
        <v>#REF!</v>
      </c>
      <c r="EL1" t="e">
        <f>AND(#REF!,"AAAAAH/avo0=")</f>
        <v>#REF!</v>
      </c>
      <c r="EM1" t="e">
        <f>AND(#REF!,"AAAAAH/avo4=")</f>
        <v>#REF!</v>
      </c>
      <c r="EN1" t="e">
        <f>AND(#REF!,"AAAAAH/avo8=")</f>
        <v>#REF!</v>
      </c>
      <c r="EO1" t="e">
        <f>AND(#REF!,"AAAAAH/avpA=")</f>
        <v>#REF!</v>
      </c>
      <c r="EP1" t="e">
        <f>AND(#REF!,"AAAAAH/avpE=")</f>
        <v>#REF!</v>
      </c>
      <c r="EQ1" t="e">
        <f>AND(#REF!,"AAAAAH/avpI=")</f>
        <v>#REF!</v>
      </c>
      <c r="ER1" t="e">
        <f>AND(#REF!,"AAAAAH/avpM=")</f>
        <v>#REF!</v>
      </c>
      <c r="ES1" t="e">
        <f>AND(#REF!,"AAAAAH/avpQ=")</f>
        <v>#REF!</v>
      </c>
      <c r="ET1" t="e">
        <f>AND(#REF!,"AAAAAH/avpU=")</f>
        <v>#REF!</v>
      </c>
      <c r="EU1" t="e">
        <f>AND(#REF!,"AAAAAH/avpY=")</f>
        <v>#REF!</v>
      </c>
      <c r="EV1" t="e">
        <f>AND(#REF!,"AAAAAH/avpc=")</f>
        <v>#REF!</v>
      </c>
      <c r="EW1" t="e">
        <f>AND(#REF!,"AAAAAH/avpg=")</f>
        <v>#REF!</v>
      </c>
      <c r="EX1" t="e">
        <f>IF(#REF!,"AAAAAH/avpk=",0)</f>
        <v>#REF!</v>
      </c>
      <c r="EY1" t="e">
        <f>AND(#REF!,"AAAAAH/avpo=")</f>
        <v>#REF!</v>
      </c>
      <c r="EZ1" t="e">
        <f>AND(#REF!,"AAAAAH/avps=")</f>
        <v>#REF!</v>
      </c>
      <c r="FA1" t="e">
        <f>AND(#REF!,"AAAAAH/avpw=")</f>
        <v>#REF!</v>
      </c>
      <c r="FB1" t="e">
        <f>AND(#REF!,"AAAAAH/avp0=")</f>
        <v>#REF!</v>
      </c>
      <c r="FC1" t="e">
        <f>AND(#REF!,"AAAAAH/avp4=")</f>
        <v>#REF!</v>
      </c>
      <c r="FD1" t="e">
        <f>AND(#REF!,"AAAAAH/avp8=")</f>
        <v>#REF!</v>
      </c>
      <c r="FE1" t="e">
        <f>AND(#REF!,"AAAAAH/avqA=")</f>
        <v>#REF!</v>
      </c>
      <c r="FF1" t="e">
        <f>AND(#REF!,"AAAAAH/avqE=")</f>
        <v>#REF!</v>
      </c>
      <c r="FG1" t="e">
        <f>AND(#REF!,"AAAAAH/avqI=")</f>
        <v>#REF!</v>
      </c>
      <c r="FH1" t="e">
        <f>AND(#REF!,"AAAAAH/avqM=")</f>
        <v>#REF!</v>
      </c>
      <c r="FI1" t="e">
        <f>AND(#REF!,"AAAAAH/avqQ=")</f>
        <v>#REF!</v>
      </c>
      <c r="FJ1" t="e">
        <f>AND(#REF!,"AAAAAH/avqU=")</f>
        <v>#REF!</v>
      </c>
      <c r="FK1" t="e">
        <f>AND(#REF!,"AAAAAH/avqY=")</f>
        <v>#REF!</v>
      </c>
      <c r="FL1" t="e">
        <f>AND(#REF!,"AAAAAH/avqc=")</f>
        <v>#REF!</v>
      </c>
      <c r="FM1" t="e">
        <f>AND(#REF!,"AAAAAH/avqg=")</f>
        <v>#REF!</v>
      </c>
      <c r="FN1" t="e">
        <f>AND(#REF!,"AAAAAH/avqk=")</f>
        <v>#REF!</v>
      </c>
      <c r="FO1" t="e">
        <f>IF(#REF!,"AAAAAH/avqo=",0)</f>
        <v>#REF!</v>
      </c>
      <c r="FP1" t="e">
        <f>AND(#REF!,"AAAAAH/avqs=")</f>
        <v>#REF!</v>
      </c>
      <c r="FQ1" t="e">
        <f>AND(#REF!,"AAAAAH/avqw=")</f>
        <v>#REF!</v>
      </c>
      <c r="FR1" t="e">
        <f>AND(#REF!,"AAAAAH/avq0=")</f>
        <v>#REF!</v>
      </c>
      <c r="FS1" t="e">
        <f>AND(#REF!,"AAAAAH/avq4=")</f>
        <v>#REF!</v>
      </c>
      <c r="FT1" t="e">
        <f>AND(#REF!,"AAAAAH/avq8=")</f>
        <v>#REF!</v>
      </c>
      <c r="FU1" t="e">
        <f>AND(#REF!,"AAAAAH/avrA=")</f>
        <v>#REF!</v>
      </c>
      <c r="FV1" t="e">
        <f>AND(#REF!,"AAAAAH/avrE=")</f>
        <v>#REF!</v>
      </c>
      <c r="FW1" t="e">
        <f>AND(#REF!,"AAAAAH/avrI=")</f>
        <v>#REF!</v>
      </c>
      <c r="FX1" t="e">
        <f>AND(#REF!,"AAAAAH/avrM=")</f>
        <v>#REF!</v>
      </c>
      <c r="FY1" t="e">
        <f>AND(#REF!,"AAAAAH/avrQ=")</f>
        <v>#REF!</v>
      </c>
      <c r="FZ1" t="e">
        <f>AND(#REF!,"AAAAAH/avrU=")</f>
        <v>#REF!</v>
      </c>
      <c r="GA1" t="e">
        <f>AND(#REF!,"AAAAAH/avrY=")</f>
        <v>#REF!</v>
      </c>
      <c r="GB1" t="e">
        <f>AND(#REF!,"AAAAAH/avrc=")</f>
        <v>#REF!</v>
      </c>
      <c r="GC1" t="e">
        <f>AND(#REF!,"AAAAAH/avrg=")</f>
        <v>#REF!</v>
      </c>
      <c r="GD1" t="e">
        <f>AND(#REF!,"AAAAAH/avrk=")</f>
        <v>#REF!</v>
      </c>
      <c r="GE1" t="e">
        <f>AND(#REF!,"AAAAAH/avro=")</f>
        <v>#REF!</v>
      </c>
      <c r="GF1" t="e">
        <f>IF(#REF!,"AAAAAH/avrs=",0)</f>
        <v>#REF!</v>
      </c>
      <c r="GG1" t="e">
        <f>AND(#REF!,"AAAAAH/avrw=")</f>
        <v>#REF!</v>
      </c>
      <c r="GH1" t="e">
        <f>AND(#REF!,"AAAAAH/avr0=")</f>
        <v>#REF!</v>
      </c>
      <c r="GI1" t="e">
        <f>AND(#REF!,"AAAAAH/avr4=")</f>
        <v>#REF!</v>
      </c>
      <c r="GJ1" t="e">
        <f>AND(#REF!,"AAAAAH/avr8=")</f>
        <v>#REF!</v>
      </c>
      <c r="GK1" t="e">
        <f>AND(#REF!,"AAAAAH/avsA=")</f>
        <v>#REF!</v>
      </c>
      <c r="GL1" t="e">
        <f>AND(#REF!,"AAAAAH/avsE=")</f>
        <v>#REF!</v>
      </c>
      <c r="GM1" t="e">
        <f>AND(#REF!,"AAAAAH/avsI=")</f>
        <v>#REF!</v>
      </c>
      <c r="GN1" t="e">
        <f>AND(#REF!,"AAAAAH/avsM=")</f>
        <v>#REF!</v>
      </c>
      <c r="GO1" t="e">
        <f>AND(#REF!,"AAAAAH/avsQ=")</f>
        <v>#REF!</v>
      </c>
      <c r="GP1" t="e">
        <f>AND(#REF!,"AAAAAH/avsU=")</f>
        <v>#REF!</v>
      </c>
      <c r="GQ1" t="e">
        <f>AND(#REF!,"AAAAAH/avsY=")</f>
        <v>#REF!</v>
      </c>
      <c r="GR1" t="e">
        <f>AND(#REF!,"AAAAAH/avsc=")</f>
        <v>#REF!</v>
      </c>
      <c r="GS1" t="e">
        <f>AND(#REF!,"AAAAAH/avsg=")</f>
        <v>#REF!</v>
      </c>
      <c r="GT1" t="e">
        <f>AND(#REF!,"AAAAAH/avsk=")</f>
        <v>#REF!</v>
      </c>
      <c r="GU1" t="e">
        <f>AND(#REF!,"AAAAAH/avso=")</f>
        <v>#REF!</v>
      </c>
      <c r="GV1" t="e">
        <f>AND(#REF!,"AAAAAH/avss=")</f>
        <v>#REF!</v>
      </c>
      <c r="GW1" t="e">
        <f>IF(#REF!,"AAAAAH/avsw=",0)</f>
        <v>#REF!</v>
      </c>
      <c r="GX1" t="e">
        <f>AND(#REF!,"AAAAAH/avs0=")</f>
        <v>#REF!</v>
      </c>
      <c r="GY1" t="e">
        <f>AND(#REF!,"AAAAAH/avs4=")</f>
        <v>#REF!</v>
      </c>
      <c r="GZ1" t="e">
        <f>AND(#REF!,"AAAAAH/avs8=")</f>
        <v>#REF!</v>
      </c>
      <c r="HA1" t="e">
        <f>AND(#REF!,"AAAAAH/avtA=")</f>
        <v>#REF!</v>
      </c>
      <c r="HB1" t="e">
        <f>AND(#REF!,"AAAAAH/avtE=")</f>
        <v>#REF!</v>
      </c>
      <c r="HC1" t="e">
        <f>AND(#REF!,"AAAAAH/avtI=")</f>
        <v>#REF!</v>
      </c>
      <c r="HD1" t="e">
        <f>AND(#REF!,"AAAAAH/avtM=")</f>
        <v>#REF!</v>
      </c>
      <c r="HE1" t="e">
        <f>AND(#REF!,"AAAAAH/avtQ=")</f>
        <v>#REF!</v>
      </c>
      <c r="HF1" t="e">
        <f>AND(#REF!,"AAAAAH/avtU=")</f>
        <v>#REF!</v>
      </c>
      <c r="HG1" t="e">
        <f>AND(#REF!,"AAAAAH/avtY=")</f>
        <v>#REF!</v>
      </c>
      <c r="HH1" t="e">
        <f>AND(#REF!,"AAAAAH/avtc=")</f>
        <v>#REF!</v>
      </c>
      <c r="HI1" t="e">
        <f>AND(#REF!,"AAAAAH/avtg=")</f>
        <v>#REF!</v>
      </c>
      <c r="HJ1" t="e">
        <f>AND(#REF!,"AAAAAH/avtk=")</f>
        <v>#REF!</v>
      </c>
      <c r="HK1" t="e">
        <f>AND(#REF!,"AAAAAH/avto=")</f>
        <v>#REF!</v>
      </c>
      <c r="HL1" t="e">
        <f>AND(#REF!,"AAAAAH/avts=")</f>
        <v>#REF!</v>
      </c>
      <c r="HM1" t="e">
        <f>AND(#REF!,"AAAAAH/avtw=")</f>
        <v>#REF!</v>
      </c>
      <c r="HN1" t="e">
        <f>IF(#REF!,"AAAAAH/avt0=",0)</f>
        <v>#REF!</v>
      </c>
      <c r="HO1" t="e">
        <f>AND(#REF!,"AAAAAH/avt4=")</f>
        <v>#REF!</v>
      </c>
      <c r="HP1" t="e">
        <f>AND(#REF!,"AAAAAH/avt8=")</f>
        <v>#REF!</v>
      </c>
      <c r="HQ1" t="e">
        <f>AND(#REF!,"AAAAAH/avuA=")</f>
        <v>#REF!</v>
      </c>
      <c r="HR1" t="e">
        <f>AND(#REF!,"AAAAAH/avuE=")</f>
        <v>#REF!</v>
      </c>
      <c r="HS1" t="e">
        <f>AND(#REF!,"AAAAAH/avuI=")</f>
        <v>#REF!</v>
      </c>
      <c r="HT1" t="e">
        <f>AND(#REF!,"AAAAAH/avuM=")</f>
        <v>#REF!</v>
      </c>
      <c r="HU1" t="e">
        <f>AND(#REF!,"AAAAAH/avuQ=")</f>
        <v>#REF!</v>
      </c>
      <c r="HV1" t="e">
        <f>AND(#REF!,"AAAAAH/avuU=")</f>
        <v>#REF!</v>
      </c>
      <c r="HW1" t="e">
        <f>AND(#REF!,"AAAAAH/avuY=")</f>
        <v>#REF!</v>
      </c>
      <c r="HX1" t="e">
        <f>AND(#REF!,"AAAAAH/avuc=")</f>
        <v>#REF!</v>
      </c>
      <c r="HY1" t="e">
        <f>AND(#REF!,"AAAAAH/avug=")</f>
        <v>#REF!</v>
      </c>
      <c r="HZ1" t="e">
        <f>AND(#REF!,"AAAAAH/avuk=")</f>
        <v>#REF!</v>
      </c>
      <c r="IA1" t="e">
        <f>AND(#REF!,"AAAAAH/avuo=")</f>
        <v>#REF!</v>
      </c>
      <c r="IB1" t="e">
        <f>AND(#REF!,"AAAAAH/avus=")</f>
        <v>#REF!</v>
      </c>
      <c r="IC1" t="e">
        <f>AND(#REF!,"AAAAAH/avuw=")</f>
        <v>#REF!</v>
      </c>
      <c r="ID1" t="e">
        <f>AND(#REF!,"AAAAAH/avu0=")</f>
        <v>#REF!</v>
      </c>
      <c r="IE1" t="e">
        <f>IF(#REF!,"AAAAAH/avu4=",0)</f>
        <v>#REF!</v>
      </c>
      <c r="IF1" t="e">
        <f>AND(#REF!,"AAAAAH/avu8=")</f>
        <v>#REF!</v>
      </c>
      <c r="IG1" t="e">
        <f>AND(#REF!,"AAAAAH/avvA=")</f>
        <v>#REF!</v>
      </c>
      <c r="IH1" t="e">
        <f>AND(#REF!,"AAAAAH/avvE=")</f>
        <v>#REF!</v>
      </c>
      <c r="II1" t="e">
        <f>AND(#REF!,"AAAAAH/avvI=")</f>
        <v>#REF!</v>
      </c>
      <c r="IJ1" t="e">
        <f>AND(#REF!,"AAAAAH/avvM=")</f>
        <v>#REF!</v>
      </c>
      <c r="IK1" t="e">
        <f>AND(#REF!,"AAAAAH/avvQ=")</f>
        <v>#REF!</v>
      </c>
      <c r="IL1" t="e">
        <f>AND(#REF!,"AAAAAH/avvU=")</f>
        <v>#REF!</v>
      </c>
      <c r="IM1" t="e">
        <f>AND(#REF!,"AAAAAH/avvY=")</f>
        <v>#REF!</v>
      </c>
      <c r="IN1" t="e">
        <f>AND(#REF!,"AAAAAH/avvc=")</f>
        <v>#REF!</v>
      </c>
      <c r="IO1" t="e">
        <f>AND(#REF!,"AAAAAH/avvg=")</f>
        <v>#REF!</v>
      </c>
      <c r="IP1" t="e">
        <f>AND(#REF!,"AAAAAH/avvk=")</f>
        <v>#REF!</v>
      </c>
      <c r="IQ1" t="e">
        <f>AND(#REF!,"AAAAAH/avvo=")</f>
        <v>#REF!</v>
      </c>
      <c r="IR1" t="e">
        <f>AND(#REF!,"AAAAAH/avvs=")</f>
        <v>#REF!</v>
      </c>
      <c r="IS1" t="e">
        <f>AND(#REF!,"AAAAAH/avvw=")</f>
        <v>#REF!</v>
      </c>
      <c r="IT1" t="e">
        <f>AND(#REF!,"AAAAAH/avv0=")</f>
        <v>#REF!</v>
      </c>
      <c r="IU1" t="e">
        <f>AND(#REF!,"AAAAAH/avv4=")</f>
        <v>#REF!</v>
      </c>
      <c r="IV1" t="e">
        <f>IF(#REF!,"AAAAAH/avv8=",0)</f>
        <v>#REF!</v>
      </c>
    </row>
    <row r="2" spans="1:256">
      <c r="A2" t="e">
        <f>AND(#REF!,"AAAAAF/5/wA=")</f>
        <v>#REF!</v>
      </c>
      <c r="B2" t="e">
        <f>AND(#REF!,"AAAAAF/5/wE=")</f>
        <v>#REF!</v>
      </c>
      <c r="C2" t="e">
        <f>AND(#REF!,"AAAAAF/5/wI=")</f>
        <v>#REF!</v>
      </c>
      <c r="D2" t="e">
        <f>AND(#REF!,"AAAAAF/5/wM=")</f>
        <v>#REF!</v>
      </c>
      <c r="E2" t="e">
        <f>AND(#REF!,"AAAAAF/5/wQ=")</f>
        <v>#REF!</v>
      </c>
      <c r="F2" t="e">
        <f>AND(#REF!,"AAAAAF/5/wU=")</f>
        <v>#REF!</v>
      </c>
      <c r="G2" t="e">
        <f>AND(#REF!,"AAAAAF/5/wY=")</f>
        <v>#REF!</v>
      </c>
      <c r="H2" t="e">
        <f>AND(#REF!,"AAAAAF/5/wc=")</f>
        <v>#REF!</v>
      </c>
      <c r="I2" t="e">
        <f>AND(#REF!,"AAAAAF/5/wg=")</f>
        <v>#REF!</v>
      </c>
      <c r="J2" t="e">
        <f>AND(#REF!,"AAAAAF/5/wk=")</f>
        <v>#REF!</v>
      </c>
      <c r="K2" t="e">
        <f>AND(#REF!,"AAAAAF/5/wo=")</f>
        <v>#REF!</v>
      </c>
      <c r="L2" t="e">
        <f>AND(#REF!,"AAAAAF/5/ws=")</f>
        <v>#REF!</v>
      </c>
      <c r="M2" t="e">
        <f>AND(#REF!,"AAAAAF/5/ww=")</f>
        <v>#REF!</v>
      </c>
      <c r="N2" t="e">
        <f>AND(#REF!,"AAAAAF/5/w0=")</f>
        <v>#REF!</v>
      </c>
      <c r="O2" t="e">
        <f>AND(#REF!,"AAAAAF/5/w4=")</f>
        <v>#REF!</v>
      </c>
      <c r="P2" t="e">
        <f>AND(#REF!,"AAAAAF/5/w8=")</f>
        <v>#REF!</v>
      </c>
      <c r="Q2" t="e">
        <f>IF(#REF!,"AAAAAF/5/xA=",0)</f>
        <v>#REF!</v>
      </c>
      <c r="R2" t="e">
        <f>AND(#REF!,"AAAAAF/5/xE=")</f>
        <v>#REF!</v>
      </c>
      <c r="S2" t="e">
        <f>AND(#REF!,"AAAAAF/5/xI=")</f>
        <v>#REF!</v>
      </c>
      <c r="T2" t="e">
        <f>AND(#REF!,"AAAAAF/5/xM=")</f>
        <v>#REF!</v>
      </c>
      <c r="U2" t="e">
        <f>AND(#REF!,"AAAAAF/5/xQ=")</f>
        <v>#REF!</v>
      </c>
      <c r="V2" t="e">
        <f>AND(#REF!,"AAAAAF/5/xU=")</f>
        <v>#REF!</v>
      </c>
      <c r="W2" t="e">
        <f>AND(#REF!,"AAAAAF/5/xY=")</f>
        <v>#REF!</v>
      </c>
      <c r="X2" t="e">
        <f>AND(#REF!,"AAAAAF/5/xc=")</f>
        <v>#REF!</v>
      </c>
      <c r="Y2" t="e">
        <f>AND(#REF!,"AAAAAF/5/xg=")</f>
        <v>#REF!</v>
      </c>
      <c r="Z2" t="e">
        <f>AND(#REF!,"AAAAAF/5/xk=")</f>
        <v>#REF!</v>
      </c>
      <c r="AA2" t="e">
        <f>AND(#REF!,"AAAAAF/5/xo=")</f>
        <v>#REF!</v>
      </c>
      <c r="AB2" t="e">
        <f>AND(#REF!,"AAAAAF/5/xs=")</f>
        <v>#REF!</v>
      </c>
      <c r="AC2" t="e">
        <f>AND(#REF!,"AAAAAF/5/xw=")</f>
        <v>#REF!</v>
      </c>
      <c r="AD2" t="e">
        <f>AND(#REF!,"AAAAAF/5/x0=")</f>
        <v>#REF!</v>
      </c>
      <c r="AE2" t="e">
        <f>AND(#REF!,"AAAAAF/5/x4=")</f>
        <v>#REF!</v>
      </c>
      <c r="AF2" t="e">
        <f>AND(#REF!,"AAAAAF/5/x8=")</f>
        <v>#REF!</v>
      </c>
      <c r="AG2" t="e">
        <f>AND(#REF!,"AAAAAF/5/yA=")</f>
        <v>#REF!</v>
      </c>
      <c r="AH2" t="e">
        <f>IF(#REF!,"AAAAAF/5/yE=",0)</f>
        <v>#REF!</v>
      </c>
      <c r="AI2" t="e">
        <f>AND(#REF!,"AAAAAF/5/yI=")</f>
        <v>#REF!</v>
      </c>
      <c r="AJ2" t="e">
        <f>AND(#REF!,"AAAAAF/5/yM=")</f>
        <v>#REF!</v>
      </c>
      <c r="AK2" t="e">
        <f>AND(#REF!,"AAAAAF/5/yQ=")</f>
        <v>#REF!</v>
      </c>
      <c r="AL2" t="e">
        <f>AND(#REF!,"AAAAAF/5/yU=")</f>
        <v>#REF!</v>
      </c>
      <c r="AM2" t="e">
        <f>AND(#REF!,"AAAAAF/5/yY=")</f>
        <v>#REF!</v>
      </c>
      <c r="AN2" t="e">
        <f>AND(#REF!,"AAAAAF/5/yc=")</f>
        <v>#REF!</v>
      </c>
      <c r="AO2" t="e">
        <f>AND(#REF!,"AAAAAF/5/yg=")</f>
        <v>#REF!</v>
      </c>
      <c r="AP2" t="e">
        <f>AND(#REF!,"AAAAAF/5/yk=")</f>
        <v>#REF!</v>
      </c>
      <c r="AQ2" t="e">
        <f>AND(#REF!,"AAAAAF/5/yo=")</f>
        <v>#REF!</v>
      </c>
      <c r="AR2" t="e">
        <f>AND(#REF!,"AAAAAF/5/ys=")</f>
        <v>#REF!</v>
      </c>
      <c r="AS2" t="e">
        <f>AND(#REF!,"AAAAAF/5/yw=")</f>
        <v>#REF!</v>
      </c>
      <c r="AT2" t="e">
        <f>AND(#REF!,"AAAAAF/5/y0=")</f>
        <v>#REF!</v>
      </c>
      <c r="AU2" t="e">
        <f>AND(#REF!,"AAAAAF/5/y4=")</f>
        <v>#REF!</v>
      </c>
      <c r="AV2" t="e">
        <f>AND(#REF!,"AAAAAF/5/y8=")</f>
        <v>#REF!</v>
      </c>
      <c r="AW2" t="e">
        <f>AND(#REF!,"AAAAAF/5/zA=")</f>
        <v>#REF!</v>
      </c>
      <c r="AX2" t="e">
        <f>AND(#REF!,"AAAAAF/5/zE=")</f>
        <v>#REF!</v>
      </c>
      <c r="AY2" t="e">
        <f>IF(#REF!,"AAAAAF/5/zI=",0)</f>
        <v>#REF!</v>
      </c>
      <c r="AZ2" t="e">
        <f>AND(#REF!,"AAAAAF/5/zM=")</f>
        <v>#REF!</v>
      </c>
      <c r="BA2" t="e">
        <f>AND(#REF!,"AAAAAF/5/zQ=")</f>
        <v>#REF!</v>
      </c>
      <c r="BB2" t="e">
        <f>AND(#REF!,"AAAAAF/5/zU=")</f>
        <v>#REF!</v>
      </c>
      <c r="BC2" t="e">
        <f>AND(#REF!,"AAAAAF/5/zY=")</f>
        <v>#REF!</v>
      </c>
      <c r="BD2" t="e">
        <f>AND(#REF!,"AAAAAF/5/zc=")</f>
        <v>#REF!</v>
      </c>
      <c r="BE2" t="e">
        <f>AND(#REF!,"AAAAAF/5/zg=")</f>
        <v>#REF!</v>
      </c>
      <c r="BF2" t="e">
        <f>AND(#REF!,"AAAAAF/5/zk=")</f>
        <v>#REF!</v>
      </c>
      <c r="BG2" t="e">
        <f>AND(#REF!,"AAAAAF/5/zo=")</f>
        <v>#REF!</v>
      </c>
      <c r="BH2" t="e">
        <f>AND(#REF!,"AAAAAF/5/zs=")</f>
        <v>#REF!</v>
      </c>
      <c r="BI2" t="e">
        <f>AND(#REF!,"AAAAAF/5/zw=")</f>
        <v>#REF!</v>
      </c>
      <c r="BJ2" t="e">
        <f>AND(#REF!,"AAAAAF/5/z0=")</f>
        <v>#REF!</v>
      </c>
      <c r="BK2" t="e">
        <f>AND(#REF!,"AAAAAF/5/z4=")</f>
        <v>#REF!</v>
      </c>
      <c r="BL2" t="e">
        <f>AND(#REF!,"AAAAAF/5/z8=")</f>
        <v>#REF!</v>
      </c>
      <c r="BM2" t="e">
        <f>AND(#REF!,"AAAAAF/5/0A=")</f>
        <v>#REF!</v>
      </c>
      <c r="BN2" t="e">
        <f>AND(#REF!,"AAAAAF/5/0E=")</f>
        <v>#REF!</v>
      </c>
      <c r="BO2" t="e">
        <f>AND(#REF!,"AAAAAF/5/0I=")</f>
        <v>#REF!</v>
      </c>
      <c r="BP2" t="e">
        <f>IF(#REF!,"AAAAAF/5/0M=",0)</f>
        <v>#REF!</v>
      </c>
      <c r="BQ2" t="e">
        <f>AND(#REF!,"AAAAAF/5/0Q=")</f>
        <v>#REF!</v>
      </c>
      <c r="BR2" t="e">
        <f>AND(#REF!,"AAAAAF/5/0U=")</f>
        <v>#REF!</v>
      </c>
      <c r="BS2" t="e">
        <f>AND(#REF!,"AAAAAF/5/0Y=")</f>
        <v>#REF!</v>
      </c>
      <c r="BT2" t="e">
        <f>AND(#REF!,"AAAAAF/5/0c=")</f>
        <v>#REF!</v>
      </c>
      <c r="BU2" t="e">
        <f>AND(#REF!,"AAAAAF/5/0g=")</f>
        <v>#REF!</v>
      </c>
      <c r="BV2" t="e">
        <f>AND(#REF!,"AAAAAF/5/0k=")</f>
        <v>#REF!</v>
      </c>
      <c r="BW2" t="e">
        <f>AND(#REF!,"AAAAAF/5/0o=")</f>
        <v>#REF!</v>
      </c>
      <c r="BX2" t="e">
        <f>AND(#REF!,"AAAAAF/5/0s=")</f>
        <v>#REF!</v>
      </c>
      <c r="BY2" t="e">
        <f>AND(#REF!,"AAAAAF/5/0w=")</f>
        <v>#REF!</v>
      </c>
      <c r="BZ2" t="e">
        <f>AND(#REF!,"AAAAAF/5/00=")</f>
        <v>#REF!</v>
      </c>
      <c r="CA2" t="e">
        <f>AND(#REF!,"AAAAAF/5/04=")</f>
        <v>#REF!</v>
      </c>
      <c r="CB2" t="e">
        <f>AND(#REF!,"AAAAAF/5/08=")</f>
        <v>#REF!</v>
      </c>
      <c r="CC2" t="e">
        <f>AND(#REF!,"AAAAAF/5/1A=")</f>
        <v>#REF!</v>
      </c>
      <c r="CD2" t="e">
        <f>AND(#REF!,"AAAAAF/5/1E=")</f>
        <v>#REF!</v>
      </c>
      <c r="CE2" t="e">
        <f>AND(#REF!,"AAAAAF/5/1I=")</f>
        <v>#REF!</v>
      </c>
      <c r="CF2" t="e">
        <f>AND(#REF!,"AAAAAF/5/1M=")</f>
        <v>#REF!</v>
      </c>
      <c r="CG2" t="e">
        <f>IF(#REF!,"AAAAAF/5/1Q=",0)</f>
        <v>#REF!</v>
      </c>
      <c r="CH2" t="e">
        <f>AND(#REF!,"AAAAAF/5/1U=")</f>
        <v>#REF!</v>
      </c>
      <c r="CI2" t="e">
        <f>AND(#REF!,"AAAAAF/5/1Y=")</f>
        <v>#REF!</v>
      </c>
      <c r="CJ2" t="e">
        <f>AND(#REF!,"AAAAAF/5/1c=")</f>
        <v>#REF!</v>
      </c>
      <c r="CK2" t="e">
        <f>AND(#REF!,"AAAAAF/5/1g=")</f>
        <v>#REF!</v>
      </c>
      <c r="CL2" t="e">
        <f>AND(#REF!,"AAAAAF/5/1k=")</f>
        <v>#REF!</v>
      </c>
      <c r="CM2" t="e">
        <f>AND(#REF!,"AAAAAF/5/1o=")</f>
        <v>#REF!</v>
      </c>
      <c r="CN2" t="e">
        <f>AND(#REF!,"AAAAAF/5/1s=")</f>
        <v>#REF!</v>
      </c>
      <c r="CO2" t="e">
        <f>AND(#REF!,"AAAAAF/5/1w=")</f>
        <v>#REF!</v>
      </c>
      <c r="CP2" t="e">
        <f>AND(#REF!,"AAAAAF/5/10=")</f>
        <v>#REF!</v>
      </c>
      <c r="CQ2" t="e">
        <f>AND(#REF!,"AAAAAF/5/14=")</f>
        <v>#REF!</v>
      </c>
      <c r="CR2" t="e">
        <f>AND(#REF!,"AAAAAF/5/18=")</f>
        <v>#REF!</v>
      </c>
      <c r="CS2" t="e">
        <f>AND(#REF!,"AAAAAF/5/2A=")</f>
        <v>#REF!</v>
      </c>
      <c r="CT2" t="e">
        <f>AND(#REF!,"AAAAAF/5/2E=")</f>
        <v>#REF!</v>
      </c>
      <c r="CU2" t="e">
        <f>AND(#REF!,"AAAAAF/5/2I=")</f>
        <v>#REF!</v>
      </c>
      <c r="CV2" t="e">
        <f>AND(#REF!,"AAAAAF/5/2M=")</f>
        <v>#REF!</v>
      </c>
      <c r="CW2" t="e">
        <f>AND(#REF!,"AAAAAF/5/2Q=")</f>
        <v>#REF!</v>
      </c>
      <c r="CX2" t="e">
        <f>IF(#REF!,"AAAAAF/5/2U=",0)</f>
        <v>#REF!</v>
      </c>
      <c r="CY2" t="e">
        <f>AND(#REF!,"AAAAAF/5/2Y=")</f>
        <v>#REF!</v>
      </c>
      <c r="CZ2" t="e">
        <f>AND(#REF!,"AAAAAF/5/2c=")</f>
        <v>#REF!</v>
      </c>
      <c r="DA2" t="e">
        <f>AND(#REF!,"AAAAAF/5/2g=")</f>
        <v>#REF!</v>
      </c>
      <c r="DB2" t="e">
        <f>AND(#REF!,"AAAAAF/5/2k=")</f>
        <v>#REF!</v>
      </c>
      <c r="DC2" t="e">
        <f>AND(#REF!,"AAAAAF/5/2o=")</f>
        <v>#REF!</v>
      </c>
      <c r="DD2" t="e">
        <f>AND(#REF!,"AAAAAF/5/2s=")</f>
        <v>#REF!</v>
      </c>
      <c r="DE2" t="e">
        <f>AND(#REF!,"AAAAAF/5/2w=")</f>
        <v>#REF!</v>
      </c>
      <c r="DF2" t="e">
        <f>AND(#REF!,"AAAAAF/5/20=")</f>
        <v>#REF!</v>
      </c>
      <c r="DG2" t="e">
        <f>AND(#REF!,"AAAAAF/5/24=")</f>
        <v>#REF!</v>
      </c>
      <c r="DH2" t="e">
        <f>AND(#REF!,"AAAAAF/5/28=")</f>
        <v>#REF!</v>
      </c>
      <c r="DI2" t="e">
        <f>AND(#REF!,"AAAAAF/5/3A=")</f>
        <v>#REF!</v>
      </c>
      <c r="DJ2" t="e">
        <f>AND(#REF!,"AAAAAF/5/3E=")</f>
        <v>#REF!</v>
      </c>
      <c r="DK2" t="e">
        <f>AND(#REF!,"AAAAAF/5/3I=")</f>
        <v>#REF!</v>
      </c>
      <c r="DL2" t="e">
        <f>AND(#REF!,"AAAAAF/5/3M=")</f>
        <v>#REF!</v>
      </c>
      <c r="DM2" t="e">
        <f>AND(#REF!,"AAAAAF/5/3Q=")</f>
        <v>#REF!</v>
      </c>
      <c r="DN2" t="e">
        <f>AND(#REF!,"AAAAAF/5/3U=")</f>
        <v>#REF!</v>
      </c>
      <c r="DO2" t="e">
        <f>IF(#REF!,"AAAAAF/5/3Y=",0)</f>
        <v>#REF!</v>
      </c>
      <c r="DP2" t="e">
        <f>AND(#REF!,"AAAAAF/5/3c=")</f>
        <v>#REF!</v>
      </c>
      <c r="DQ2" t="e">
        <f>AND(#REF!,"AAAAAF/5/3g=")</f>
        <v>#REF!</v>
      </c>
      <c r="DR2" t="e">
        <f>AND(#REF!,"AAAAAF/5/3k=")</f>
        <v>#REF!</v>
      </c>
      <c r="DS2" t="e">
        <f>AND(#REF!,"AAAAAF/5/3o=")</f>
        <v>#REF!</v>
      </c>
      <c r="DT2" t="e">
        <f>AND(#REF!,"AAAAAF/5/3s=")</f>
        <v>#REF!</v>
      </c>
      <c r="DU2" t="e">
        <f>AND(#REF!,"AAAAAF/5/3w=")</f>
        <v>#REF!</v>
      </c>
      <c r="DV2" t="e">
        <f>AND(#REF!,"AAAAAF/5/30=")</f>
        <v>#REF!</v>
      </c>
      <c r="DW2" t="e">
        <f>AND(#REF!,"AAAAAF/5/34=")</f>
        <v>#REF!</v>
      </c>
      <c r="DX2" t="e">
        <f>AND(#REF!,"AAAAAF/5/38=")</f>
        <v>#REF!</v>
      </c>
      <c r="DY2" t="e">
        <f>AND(#REF!,"AAAAAF/5/4A=")</f>
        <v>#REF!</v>
      </c>
      <c r="DZ2" t="e">
        <f>AND(#REF!,"AAAAAF/5/4E=")</f>
        <v>#REF!</v>
      </c>
      <c r="EA2" t="e">
        <f>AND(#REF!,"AAAAAF/5/4I=")</f>
        <v>#REF!</v>
      </c>
      <c r="EB2" t="e">
        <f>AND(#REF!,"AAAAAF/5/4M=")</f>
        <v>#REF!</v>
      </c>
      <c r="EC2" t="e">
        <f>AND(#REF!,"AAAAAF/5/4Q=")</f>
        <v>#REF!</v>
      </c>
      <c r="ED2" t="e">
        <f>AND(#REF!,"AAAAAF/5/4U=")</f>
        <v>#REF!</v>
      </c>
      <c r="EE2" t="e">
        <f>AND(#REF!,"AAAAAF/5/4Y=")</f>
        <v>#REF!</v>
      </c>
      <c r="EF2" t="e">
        <f>IF(#REF!,"AAAAAF/5/4c=",0)</f>
        <v>#REF!</v>
      </c>
      <c r="EG2" t="e">
        <f>AND(#REF!,"AAAAAF/5/4g=")</f>
        <v>#REF!</v>
      </c>
      <c r="EH2" t="e">
        <f>AND(#REF!,"AAAAAF/5/4k=")</f>
        <v>#REF!</v>
      </c>
      <c r="EI2" t="e">
        <f>AND(#REF!,"AAAAAF/5/4o=")</f>
        <v>#REF!</v>
      </c>
      <c r="EJ2" t="e">
        <f>AND(#REF!,"AAAAAF/5/4s=")</f>
        <v>#REF!</v>
      </c>
      <c r="EK2" t="e">
        <f>AND(#REF!,"AAAAAF/5/4w=")</f>
        <v>#REF!</v>
      </c>
      <c r="EL2" t="e">
        <f>AND(#REF!,"AAAAAF/5/40=")</f>
        <v>#REF!</v>
      </c>
      <c r="EM2" t="e">
        <f>AND(#REF!,"AAAAAF/5/44=")</f>
        <v>#REF!</v>
      </c>
      <c r="EN2" t="e">
        <f>AND(#REF!,"AAAAAF/5/48=")</f>
        <v>#REF!</v>
      </c>
      <c r="EO2" t="e">
        <f>AND(#REF!,"AAAAAF/5/5A=")</f>
        <v>#REF!</v>
      </c>
      <c r="EP2" t="e">
        <f>AND(#REF!,"AAAAAF/5/5E=")</f>
        <v>#REF!</v>
      </c>
      <c r="EQ2" t="e">
        <f>AND(#REF!,"AAAAAF/5/5I=")</f>
        <v>#REF!</v>
      </c>
      <c r="ER2" t="e">
        <f>AND(#REF!,"AAAAAF/5/5M=")</f>
        <v>#REF!</v>
      </c>
      <c r="ES2" t="e">
        <f>AND(#REF!,"AAAAAF/5/5Q=")</f>
        <v>#REF!</v>
      </c>
      <c r="ET2" t="e">
        <f>AND(#REF!,"AAAAAF/5/5U=")</f>
        <v>#REF!</v>
      </c>
      <c r="EU2" t="e">
        <f>AND(#REF!,"AAAAAF/5/5Y=")</f>
        <v>#REF!</v>
      </c>
      <c r="EV2" t="e">
        <f>AND(#REF!,"AAAAAF/5/5c=")</f>
        <v>#REF!</v>
      </c>
      <c r="EW2" t="e">
        <f>IF(#REF!,"AAAAAF/5/5g=",0)</f>
        <v>#REF!</v>
      </c>
      <c r="EX2" t="e">
        <f>AND(#REF!,"AAAAAF/5/5k=")</f>
        <v>#REF!</v>
      </c>
      <c r="EY2" t="e">
        <f>AND(#REF!,"AAAAAF/5/5o=")</f>
        <v>#REF!</v>
      </c>
      <c r="EZ2" t="e">
        <f>AND(#REF!,"AAAAAF/5/5s=")</f>
        <v>#REF!</v>
      </c>
      <c r="FA2" t="e">
        <f>AND(#REF!,"AAAAAF/5/5w=")</f>
        <v>#REF!</v>
      </c>
      <c r="FB2" t="e">
        <f>AND(#REF!,"AAAAAF/5/50=")</f>
        <v>#REF!</v>
      </c>
      <c r="FC2" t="e">
        <f>AND(#REF!,"AAAAAF/5/54=")</f>
        <v>#REF!</v>
      </c>
      <c r="FD2" t="e">
        <f>AND(#REF!,"AAAAAF/5/58=")</f>
        <v>#REF!</v>
      </c>
      <c r="FE2" t="e">
        <f>AND(#REF!,"AAAAAF/5/6A=")</f>
        <v>#REF!</v>
      </c>
      <c r="FF2" t="e">
        <f>AND(#REF!,"AAAAAF/5/6E=")</f>
        <v>#REF!</v>
      </c>
      <c r="FG2" t="e">
        <f>AND(#REF!,"AAAAAF/5/6I=")</f>
        <v>#REF!</v>
      </c>
      <c r="FH2" t="e">
        <f>AND(#REF!,"AAAAAF/5/6M=")</f>
        <v>#REF!</v>
      </c>
      <c r="FI2" t="e">
        <f>AND(#REF!,"AAAAAF/5/6Q=")</f>
        <v>#REF!</v>
      </c>
      <c r="FJ2" t="e">
        <f>AND(#REF!,"AAAAAF/5/6U=")</f>
        <v>#REF!</v>
      </c>
      <c r="FK2" t="e">
        <f>AND(#REF!,"AAAAAF/5/6Y=")</f>
        <v>#REF!</v>
      </c>
      <c r="FL2" t="e">
        <f>AND(#REF!,"AAAAAF/5/6c=")</f>
        <v>#REF!</v>
      </c>
      <c r="FM2" t="e">
        <f>AND(#REF!,"AAAAAF/5/6g=")</f>
        <v>#REF!</v>
      </c>
      <c r="FN2" t="e">
        <f>IF(#REF!,"AAAAAF/5/6k=",0)</f>
        <v>#REF!</v>
      </c>
      <c r="FO2" t="e">
        <f>AND(#REF!,"AAAAAF/5/6o=")</f>
        <v>#REF!</v>
      </c>
      <c r="FP2" t="e">
        <f>AND(#REF!,"AAAAAF/5/6s=")</f>
        <v>#REF!</v>
      </c>
      <c r="FQ2" t="e">
        <f>AND(#REF!,"AAAAAF/5/6w=")</f>
        <v>#REF!</v>
      </c>
      <c r="FR2" t="e">
        <f>AND(#REF!,"AAAAAF/5/60=")</f>
        <v>#REF!</v>
      </c>
      <c r="FS2" t="e">
        <f>AND(#REF!,"AAAAAF/5/64=")</f>
        <v>#REF!</v>
      </c>
      <c r="FT2" t="e">
        <f>AND(#REF!,"AAAAAF/5/68=")</f>
        <v>#REF!</v>
      </c>
      <c r="FU2" t="e">
        <f>AND(#REF!,"AAAAAF/5/7A=")</f>
        <v>#REF!</v>
      </c>
      <c r="FV2" t="e">
        <f>IF(#REF!,"AAAAAF/5/7E=",0)</f>
        <v>#REF!</v>
      </c>
      <c r="FW2" t="e">
        <f>AND(#REF!,"AAAAAF/5/7I=")</f>
        <v>#REF!</v>
      </c>
      <c r="FX2" t="e">
        <f>AND(#REF!,"AAAAAF/5/7M=")</f>
        <v>#REF!</v>
      </c>
      <c r="FY2" t="e">
        <f>AND(#REF!,"AAAAAF/5/7Q=")</f>
        <v>#REF!</v>
      </c>
      <c r="FZ2" t="e">
        <f>AND(#REF!,"AAAAAF/5/7U=")</f>
        <v>#REF!</v>
      </c>
      <c r="GA2" t="e">
        <f>AND(#REF!,"AAAAAF/5/7Y=")</f>
        <v>#REF!</v>
      </c>
      <c r="GB2" t="e">
        <f>AND(#REF!,"AAAAAF/5/7c=")</f>
        <v>#REF!</v>
      </c>
      <c r="GC2" t="e">
        <f>AND(#REF!,"AAAAAF/5/7g=")</f>
        <v>#REF!</v>
      </c>
      <c r="GD2" t="e">
        <f>IF(#REF!,"AAAAAF/5/7k=",0)</f>
        <v>#REF!</v>
      </c>
      <c r="GE2" t="e">
        <f>IF(#REF!,"AAAAAF/5/7o=",0)</f>
        <v>#REF!</v>
      </c>
      <c r="GF2" t="e">
        <f>IF(#REF!,"AAAAAF/5/7s=",0)</f>
        <v>#REF!</v>
      </c>
      <c r="GG2" t="e">
        <f>IF(#REF!,"AAAAAF/5/7w=",0)</f>
        <v>#REF!</v>
      </c>
      <c r="GH2" t="e">
        <f>IF(#REF!,"AAAAAF/5/70=",0)</f>
        <v>#REF!</v>
      </c>
      <c r="GI2" t="e">
        <f>IF(#REF!,"AAAAAF/5/74=",0)</f>
        <v>#REF!</v>
      </c>
      <c r="GJ2" t="e">
        <f>IF(#REF!,"AAAAAF/5/78=",0)</f>
        <v>#REF!</v>
      </c>
      <c r="GK2" t="e">
        <f>IF(#REF!,"AAAAAF/5/8A=",0)</f>
        <v>#REF!</v>
      </c>
      <c r="GL2" t="e">
        <f>IF(#REF!,"AAAAAF/5/8E=",0)</f>
        <v>#REF!</v>
      </c>
      <c r="GM2" t="e">
        <f>IF(#REF!,"AAAAAF/5/8I=",0)</f>
        <v>#REF!</v>
      </c>
      <c r="GN2" t="e">
        <f>IF(#REF!,"AAAAAF/5/8M=",0)</f>
        <v>#REF!</v>
      </c>
      <c r="GO2" t="e">
        <f>IF(#REF!,"AAAAAF/5/8Q=",0)</f>
        <v>#REF!</v>
      </c>
      <c r="GP2" t="e">
        <f>IF(#REF!,"AAAAAF/5/8U=",0)</f>
        <v>#REF!</v>
      </c>
      <c r="GQ2" t="e">
        <f>IF(#REF!,"AAAAAF/5/8Y=",0)</f>
        <v>#REF!</v>
      </c>
      <c r="GR2" t="e">
        <f>IF(#REF!,"AAAAAF/5/8c=",0)</f>
        <v>#REF!</v>
      </c>
      <c r="GS2" t="e">
        <f>IF(#REF!,"AAAAAF/5/8g=",0)</f>
        <v>#REF!</v>
      </c>
      <c r="GT2" t="e">
        <f>IF(#REF!,"AAAAAF/5/8k=",0)</f>
        <v>#REF!</v>
      </c>
      <c r="GU2" t="e">
        <f>IF(#REF!,"AAAAAF/5/8o=",0)</f>
        <v>#REF!</v>
      </c>
      <c r="GV2" t="e">
        <f>AND(#REF!,"AAAAAF/5/8s=")</f>
        <v>#REF!</v>
      </c>
      <c r="GW2" t="e">
        <f>IF(#REF!,"AAAAAF/5/8w=",0)</f>
        <v>#REF!</v>
      </c>
      <c r="GX2" t="e">
        <f>IF(#REF!,"AAAAAF/5/80=",0)</f>
        <v>#REF!</v>
      </c>
      <c r="GY2" t="e">
        <f>AND(#REF!,"AAAAAF/5/84=")</f>
        <v>#REF!</v>
      </c>
      <c r="GZ2" t="e">
        <f>IF(#REF!,"AAAAAF/5/88=",0)</f>
        <v>#REF!</v>
      </c>
      <c r="HA2" s="1" t="s">
        <v>0</v>
      </c>
      <c r="HB2" t="e">
        <f>IF("N",[0]!_xlnm.Print_Area,"AAAAAF/5/9E=")</f>
        <v>#VALUE!</v>
      </c>
    </row>
  </sheetData>
  <phoneticPr fontId="1"/>
  <pageMargins left="0.7" right="0.7" top="0.75" bottom="0.75" header="0.3" footer="0.3"/>
  <pageSetup paperSize="9" orientation="portrait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M68"/>
  <sheetViews>
    <sheetView tabSelected="1" view="pageBreakPreview" topLeftCell="C1" zoomScale="39" zoomScaleNormal="50" zoomScaleSheetLayoutView="97" workbookViewId="0">
      <selection activeCell="V32" sqref="V32"/>
    </sheetView>
  </sheetViews>
  <sheetFormatPr baseColWidth="10" defaultColWidth="8.83203125" defaultRowHeight="14"/>
  <cols>
    <col min="1" max="1" width="3.6640625" customWidth="1"/>
    <col min="2" max="2" width="14.1640625" customWidth="1"/>
    <col min="3" max="3" width="31.33203125" customWidth="1"/>
    <col min="4" max="11" width="34" customWidth="1"/>
    <col min="12" max="12" width="18" customWidth="1"/>
    <col min="13" max="13" width="12.83203125" customWidth="1"/>
  </cols>
  <sheetData>
    <row r="2" spans="4:5">
      <c r="D2" s="4"/>
    </row>
    <row r="3" spans="4:5" ht="21.75" customHeight="1"/>
    <row r="4" spans="4:5" ht="21.75" customHeight="1"/>
    <row r="5" spans="4:5" ht="21.75" customHeight="1">
      <c r="E5" s="3"/>
    </row>
    <row r="6" spans="4:5" ht="21.75" customHeight="1"/>
    <row r="7" spans="4:5" ht="21.75" customHeight="1"/>
    <row r="8" spans="4:5" ht="21.75" customHeight="1"/>
    <row r="9" spans="4:5" ht="21.75" customHeight="1"/>
    <row r="10" spans="4:5" ht="21.75" customHeight="1"/>
    <row r="11" spans="4:5" ht="21.75" customHeight="1"/>
    <row r="12" spans="4:5" ht="21.75" customHeight="1"/>
    <row r="13" spans="4:5" ht="21.75" customHeight="1"/>
    <row r="14" spans="4:5" ht="21.75" customHeight="1"/>
    <row r="15" spans="4:5" ht="21.75" customHeight="1"/>
    <row r="16" spans="4:5" ht="27.75" customHeight="1" thickBot="1"/>
    <row r="17" spans="2:13" ht="42.75" customHeight="1">
      <c r="B17" s="9" t="s">
        <v>12</v>
      </c>
      <c r="C17" s="5" t="s">
        <v>19</v>
      </c>
      <c r="D17" s="107" t="s">
        <v>15</v>
      </c>
      <c r="E17" s="108"/>
      <c r="F17" s="107" t="s">
        <v>16</v>
      </c>
      <c r="G17" s="108"/>
      <c r="H17" s="107" t="s">
        <v>17</v>
      </c>
      <c r="I17" s="109"/>
      <c r="J17" s="5" t="s">
        <v>25</v>
      </c>
      <c r="K17" s="97" t="s">
        <v>18</v>
      </c>
      <c r="L17" s="98"/>
      <c r="M17" s="99"/>
    </row>
    <row r="18" spans="2:13" ht="31.5" customHeight="1">
      <c r="B18" s="10" t="s">
        <v>14</v>
      </c>
      <c r="C18" s="92" t="s">
        <v>42</v>
      </c>
      <c r="D18" s="93" t="s">
        <v>32</v>
      </c>
      <c r="E18" s="94" t="s">
        <v>43</v>
      </c>
      <c r="F18" s="93" t="s">
        <v>28</v>
      </c>
      <c r="G18" s="94" t="s">
        <v>43</v>
      </c>
      <c r="H18" s="93" t="s">
        <v>29</v>
      </c>
      <c r="I18" s="94" t="s">
        <v>42</v>
      </c>
      <c r="J18" s="95" t="s">
        <v>42</v>
      </c>
      <c r="K18" s="120" t="s">
        <v>32</v>
      </c>
      <c r="L18" s="105" t="s">
        <v>44</v>
      </c>
      <c r="M18" s="106"/>
    </row>
    <row r="19" spans="2:13" ht="31.5" customHeight="1" thickBot="1">
      <c r="B19" s="10" t="s">
        <v>13</v>
      </c>
      <c r="C19" s="167"/>
      <c r="D19" s="168"/>
      <c r="E19" s="169"/>
      <c r="F19" s="168"/>
      <c r="G19" s="169"/>
      <c r="H19" s="168"/>
      <c r="I19" s="169"/>
      <c r="J19" s="170"/>
      <c r="K19" s="120"/>
      <c r="L19" s="105"/>
      <c r="M19" s="106"/>
    </row>
    <row r="20" spans="2:13" ht="21" customHeight="1" thickTop="1">
      <c r="B20" s="61" t="s">
        <v>1</v>
      </c>
      <c r="C20" s="175" t="s">
        <v>59</v>
      </c>
      <c r="D20" s="176"/>
      <c r="E20" s="176"/>
      <c r="F20" s="176"/>
      <c r="G20" s="176"/>
      <c r="H20" s="176"/>
      <c r="I20" s="176"/>
      <c r="J20" s="177"/>
      <c r="K20" s="173" t="s">
        <v>20</v>
      </c>
      <c r="L20" s="126" t="s">
        <v>53</v>
      </c>
      <c r="M20" s="127"/>
    </row>
    <row r="21" spans="2:13" ht="21" customHeight="1">
      <c r="B21" s="62"/>
      <c r="C21" s="178"/>
      <c r="D21" s="96"/>
      <c r="E21" s="96"/>
      <c r="F21" s="96"/>
      <c r="G21" s="96"/>
      <c r="H21" s="96"/>
      <c r="I21" s="96"/>
      <c r="J21" s="179"/>
      <c r="K21" s="173"/>
      <c r="L21" s="128"/>
      <c r="M21" s="129"/>
    </row>
    <row r="22" spans="2:13" ht="21" customHeight="1">
      <c r="B22" s="62"/>
      <c r="C22" s="178"/>
      <c r="D22" s="96"/>
      <c r="E22" s="96"/>
      <c r="F22" s="96"/>
      <c r="G22" s="96"/>
      <c r="H22" s="96"/>
      <c r="I22" s="96"/>
      <c r="J22" s="179"/>
      <c r="K22" s="173"/>
      <c r="L22" s="128"/>
      <c r="M22" s="129"/>
    </row>
    <row r="23" spans="2:13" ht="21" customHeight="1">
      <c r="B23" s="63"/>
      <c r="C23" s="178"/>
      <c r="D23" s="96"/>
      <c r="E23" s="96"/>
      <c r="F23" s="96"/>
      <c r="G23" s="96"/>
      <c r="H23" s="96"/>
      <c r="I23" s="96"/>
      <c r="J23" s="179"/>
      <c r="K23" s="173"/>
      <c r="L23" s="128"/>
      <c r="M23" s="129"/>
    </row>
    <row r="24" spans="2:13" ht="21" customHeight="1">
      <c r="B24" s="61" t="s">
        <v>2</v>
      </c>
      <c r="C24" s="178"/>
      <c r="D24" s="96"/>
      <c r="E24" s="96"/>
      <c r="F24" s="96"/>
      <c r="G24" s="96"/>
      <c r="H24" s="96"/>
      <c r="I24" s="96"/>
      <c r="J24" s="179"/>
      <c r="K24" s="174" t="s">
        <v>26</v>
      </c>
      <c r="L24" s="128"/>
      <c r="M24" s="129"/>
    </row>
    <row r="25" spans="2:13" ht="21" customHeight="1">
      <c r="B25" s="62"/>
      <c r="C25" s="178"/>
      <c r="D25" s="96"/>
      <c r="E25" s="96"/>
      <c r="F25" s="96"/>
      <c r="G25" s="96"/>
      <c r="H25" s="96"/>
      <c r="I25" s="96"/>
      <c r="J25" s="179"/>
      <c r="K25" s="174"/>
      <c r="L25" s="128"/>
      <c r="M25" s="129"/>
    </row>
    <row r="26" spans="2:13" ht="21" customHeight="1">
      <c r="B26" s="62"/>
      <c r="C26" s="178"/>
      <c r="D26" s="96"/>
      <c r="E26" s="96"/>
      <c r="F26" s="96"/>
      <c r="G26" s="96"/>
      <c r="H26" s="96"/>
      <c r="I26" s="96"/>
      <c r="J26" s="179"/>
      <c r="K26" s="174"/>
      <c r="L26" s="128"/>
      <c r="M26" s="129"/>
    </row>
    <row r="27" spans="2:13" ht="21" customHeight="1" thickBot="1">
      <c r="B27" s="63"/>
      <c r="C27" s="180"/>
      <c r="D27" s="181"/>
      <c r="E27" s="181"/>
      <c r="F27" s="181"/>
      <c r="G27" s="181"/>
      <c r="H27" s="181"/>
      <c r="I27" s="181"/>
      <c r="J27" s="182"/>
      <c r="K27" s="174"/>
      <c r="L27" s="130"/>
      <c r="M27" s="131"/>
    </row>
    <row r="28" spans="2:13" ht="21" customHeight="1" thickTop="1">
      <c r="B28" s="61" t="s">
        <v>3</v>
      </c>
      <c r="C28" s="8"/>
      <c r="D28" s="77"/>
      <c r="E28" s="171"/>
      <c r="J28" s="124"/>
      <c r="K28" s="13"/>
      <c r="L28" s="100"/>
      <c r="M28" s="101"/>
    </row>
    <row r="29" spans="2:13" ht="21" customHeight="1">
      <c r="B29" s="62"/>
      <c r="C29" s="8"/>
      <c r="D29" s="77"/>
      <c r="E29" s="20"/>
      <c r="J29" s="124"/>
      <c r="K29" s="14"/>
      <c r="L29" s="100"/>
      <c r="M29" s="101"/>
    </row>
    <row r="30" spans="2:13" ht="21" customHeight="1">
      <c r="B30" s="62"/>
      <c r="C30" s="8"/>
      <c r="D30" s="77"/>
      <c r="E30" s="20"/>
      <c r="J30" s="124"/>
      <c r="K30" s="14"/>
      <c r="L30" s="100"/>
      <c r="M30" s="101"/>
    </row>
    <row r="31" spans="2:13" ht="21" customHeight="1">
      <c r="B31" s="63"/>
      <c r="C31" s="7"/>
      <c r="D31" s="78"/>
      <c r="E31" s="21"/>
      <c r="J31" s="125"/>
      <c r="K31" s="15"/>
      <c r="L31" s="100"/>
      <c r="M31" s="101"/>
    </row>
    <row r="32" spans="2:13" ht="21" customHeight="1">
      <c r="B32" s="61" t="s">
        <v>4</v>
      </c>
      <c r="C32" s="6"/>
      <c r="D32" s="87"/>
      <c r="E32" s="84"/>
      <c r="F32" s="172" t="s">
        <v>30</v>
      </c>
      <c r="G32" s="44"/>
      <c r="H32" s="44"/>
      <c r="I32" s="44"/>
      <c r="J32" s="16"/>
      <c r="K32" s="11" t="s">
        <v>48</v>
      </c>
      <c r="L32" s="102"/>
      <c r="M32" s="103"/>
    </row>
    <row r="33" spans="2:13" ht="21" customHeight="1">
      <c r="B33" s="62"/>
      <c r="C33" s="8"/>
      <c r="D33" s="88"/>
      <c r="E33" s="90"/>
      <c r="F33" s="43"/>
      <c r="G33" s="44"/>
      <c r="H33" s="44"/>
      <c r="I33" s="44"/>
      <c r="J33" s="17"/>
      <c r="K33" s="12"/>
      <c r="L33" s="104"/>
      <c r="M33" s="103"/>
    </row>
    <row r="34" spans="2:13" ht="21" customHeight="1">
      <c r="B34" s="62"/>
      <c r="C34" s="8"/>
      <c r="D34" s="88"/>
      <c r="E34" s="90"/>
      <c r="F34" s="43"/>
      <c r="G34" s="44"/>
      <c r="H34" s="44"/>
      <c r="I34" s="44"/>
      <c r="J34" s="17"/>
      <c r="K34" s="12"/>
      <c r="L34" s="104"/>
      <c r="M34" s="103"/>
    </row>
    <row r="35" spans="2:13" ht="21" customHeight="1">
      <c r="B35" s="63"/>
      <c r="C35" s="7"/>
      <c r="D35" s="89"/>
      <c r="E35" s="91"/>
      <c r="F35" s="45"/>
      <c r="G35" s="46"/>
      <c r="H35" s="46"/>
      <c r="I35" s="46"/>
      <c r="J35" s="18"/>
      <c r="K35" s="12"/>
      <c r="L35" s="104"/>
      <c r="M35" s="103"/>
    </row>
    <row r="36" spans="2:13" ht="21" customHeight="1">
      <c r="B36" s="61" t="s">
        <v>5</v>
      </c>
      <c r="C36" s="6"/>
      <c r="D36" s="81"/>
      <c r="E36" s="19"/>
      <c r="F36" s="76"/>
      <c r="G36" s="84"/>
      <c r="H36" s="22"/>
      <c r="I36" s="73"/>
      <c r="J36" s="16"/>
      <c r="K36" s="121"/>
      <c r="L36" s="56"/>
      <c r="M36" s="57"/>
    </row>
    <row r="37" spans="2:13" ht="21" customHeight="1">
      <c r="B37" s="62"/>
      <c r="C37" s="8"/>
      <c r="D37" s="82"/>
      <c r="E37" s="20"/>
      <c r="F37" s="77"/>
      <c r="G37" s="85"/>
      <c r="H37" s="23"/>
      <c r="I37" s="74"/>
      <c r="J37" s="17"/>
      <c r="K37" s="12"/>
      <c r="L37" s="58"/>
      <c r="M37" s="57"/>
    </row>
    <row r="38" spans="2:13" ht="21" customHeight="1">
      <c r="B38" s="62"/>
      <c r="C38" s="8"/>
      <c r="D38" s="82"/>
      <c r="E38" s="20"/>
      <c r="F38" s="77"/>
      <c r="G38" s="85"/>
      <c r="H38" s="23"/>
      <c r="I38" s="74"/>
      <c r="J38" s="17"/>
      <c r="K38" s="12"/>
      <c r="L38" s="58"/>
      <c r="M38" s="57"/>
    </row>
    <row r="39" spans="2:13" ht="21" customHeight="1">
      <c r="B39" s="63"/>
      <c r="C39" s="7"/>
      <c r="D39" s="83"/>
      <c r="E39" s="21"/>
      <c r="F39" s="78"/>
      <c r="G39" s="86"/>
      <c r="H39" s="24"/>
      <c r="I39" s="75"/>
      <c r="J39" s="18"/>
      <c r="K39" s="12"/>
      <c r="L39" s="58"/>
      <c r="M39" s="57"/>
    </row>
    <row r="40" spans="2:13" ht="21" customHeight="1">
      <c r="B40" s="61" t="s">
        <v>6</v>
      </c>
      <c r="C40" s="69" t="s">
        <v>52</v>
      </c>
      <c r="D40" s="76"/>
      <c r="E40" s="25" t="s">
        <v>52</v>
      </c>
      <c r="F40" s="79"/>
      <c r="G40" s="28" t="s">
        <v>56</v>
      </c>
      <c r="H40" s="76"/>
      <c r="I40" s="25" t="s">
        <v>52</v>
      </c>
      <c r="J40" s="25" t="s">
        <v>52</v>
      </c>
      <c r="K40" s="72" t="s">
        <v>33</v>
      </c>
      <c r="L40" s="59" t="s">
        <v>45</v>
      </c>
      <c r="M40" s="60"/>
    </row>
    <row r="41" spans="2:13" ht="21" customHeight="1">
      <c r="B41" s="62"/>
      <c r="C41" s="70"/>
      <c r="D41" s="77"/>
      <c r="E41" s="26"/>
      <c r="F41" s="80"/>
      <c r="G41" s="29"/>
      <c r="H41" s="77"/>
      <c r="I41" s="26"/>
      <c r="J41" s="26"/>
      <c r="K41" s="72"/>
      <c r="L41" s="59"/>
      <c r="M41" s="60"/>
    </row>
    <row r="42" spans="2:13" ht="21" customHeight="1">
      <c r="B42" s="62"/>
      <c r="C42" s="70"/>
      <c r="D42" s="77"/>
      <c r="E42" s="26"/>
      <c r="F42" s="80"/>
      <c r="G42" s="29"/>
      <c r="H42" s="77"/>
      <c r="I42" s="26"/>
      <c r="J42" s="26"/>
      <c r="K42" s="72"/>
      <c r="L42" s="59"/>
      <c r="M42" s="60"/>
    </row>
    <row r="43" spans="2:13" ht="21" customHeight="1">
      <c r="B43" s="63"/>
      <c r="C43" s="70"/>
      <c r="D43" s="78"/>
      <c r="E43" s="26"/>
      <c r="F43" s="80"/>
      <c r="G43" s="29"/>
      <c r="H43" s="78"/>
      <c r="I43" s="26"/>
      <c r="J43" s="26"/>
      <c r="K43" s="72"/>
      <c r="L43" s="59"/>
      <c r="M43" s="60"/>
    </row>
    <row r="44" spans="2:13" ht="21" customHeight="1">
      <c r="B44" s="61" t="s">
        <v>7</v>
      </c>
      <c r="C44" s="70"/>
      <c r="D44" s="117" t="s">
        <v>57</v>
      </c>
      <c r="E44" s="26"/>
      <c r="F44" s="110" t="s">
        <v>34</v>
      </c>
      <c r="G44" s="29"/>
      <c r="H44" s="66" t="s">
        <v>31</v>
      </c>
      <c r="I44" s="26"/>
      <c r="J44" s="26"/>
      <c r="K44" s="42" t="s">
        <v>40</v>
      </c>
      <c r="L44" s="133"/>
      <c r="M44" s="134"/>
    </row>
    <row r="45" spans="2:13" ht="21" customHeight="1">
      <c r="B45" s="62"/>
      <c r="C45" s="70"/>
      <c r="D45" s="118"/>
      <c r="E45" s="26"/>
      <c r="F45" s="111"/>
      <c r="G45" s="29"/>
      <c r="H45" s="67"/>
      <c r="I45" s="26"/>
      <c r="J45" s="26"/>
      <c r="K45" s="42"/>
      <c r="L45" s="56"/>
      <c r="M45" s="134"/>
    </row>
    <row r="46" spans="2:13" ht="21" customHeight="1">
      <c r="B46" s="62"/>
      <c r="C46" s="70"/>
      <c r="D46" s="118"/>
      <c r="E46" s="26"/>
      <c r="F46" s="111"/>
      <c r="G46" s="29"/>
      <c r="H46" s="67"/>
      <c r="I46" s="26"/>
      <c r="J46" s="26"/>
      <c r="K46" s="42"/>
      <c r="L46" s="56"/>
      <c r="M46" s="134"/>
    </row>
    <row r="47" spans="2:13" ht="21" customHeight="1">
      <c r="B47" s="63"/>
      <c r="C47" s="70"/>
      <c r="D47" s="119"/>
      <c r="E47" s="26"/>
      <c r="F47" s="112"/>
      <c r="G47" s="29"/>
      <c r="H47" s="68"/>
      <c r="I47" s="26"/>
      <c r="J47" s="26"/>
      <c r="K47" s="42"/>
      <c r="L47" s="56"/>
      <c r="M47" s="134"/>
    </row>
    <row r="48" spans="2:13" ht="21" customHeight="1">
      <c r="B48" s="61" t="s">
        <v>8</v>
      </c>
      <c r="C48" s="70"/>
      <c r="D48" s="110" t="s">
        <v>34</v>
      </c>
      <c r="E48" s="26"/>
      <c r="F48" s="47" t="s">
        <v>38</v>
      </c>
      <c r="G48" s="30" t="s">
        <v>55</v>
      </c>
      <c r="H48" s="47" t="s">
        <v>51</v>
      </c>
      <c r="I48" s="26"/>
      <c r="J48" s="26"/>
      <c r="K48" s="80" t="s">
        <v>21</v>
      </c>
      <c r="L48" s="50"/>
      <c r="M48" s="51"/>
    </row>
    <row r="49" spans="2:13" ht="21" customHeight="1">
      <c r="B49" s="62"/>
      <c r="C49" s="70"/>
      <c r="D49" s="111"/>
      <c r="E49" s="26"/>
      <c r="F49" s="48"/>
      <c r="G49" s="31"/>
      <c r="H49" s="48"/>
      <c r="I49" s="26"/>
      <c r="J49" s="26"/>
      <c r="K49" s="80"/>
      <c r="L49" s="52"/>
      <c r="M49" s="51"/>
    </row>
    <row r="50" spans="2:13" ht="21" customHeight="1">
      <c r="B50" s="62"/>
      <c r="C50" s="70"/>
      <c r="D50" s="111"/>
      <c r="E50" s="26"/>
      <c r="F50" s="48"/>
      <c r="G50" s="31"/>
      <c r="H50" s="48"/>
      <c r="I50" s="26"/>
      <c r="J50" s="26"/>
      <c r="K50" s="80"/>
      <c r="L50" s="52"/>
      <c r="M50" s="51"/>
    </row>
    <row r="51" spans="2:13" ht="21" customHeight="1">
      <c r="B51" s="63"/>
      <c r="C51" s="71"/>
      <c r="D51" s="112"/>
      <c r="E51" s="27"/>
      <c r="F51" s="49"/>
      <c r="G51" s="32"/>
      <c r="H51" s="49"/>
      <c r="I51" s="27"/>
      <c r="J51" s="27"/>
      <c r="K51" s="132"/>
      <c r="L51" s="52"/>
      <c r="M51" s="51"/>
    </row>
    <row r="52" spans="2:13" ht="21" customHeight="1">
      <c r="B52" s="61" t="s">
        <v>9</v>
      </c>
      <c r="C52" s="6"/>
      <c r="D52" s="64" t="s">
        <v>35</v>
      </c>
      <c r="E52" s="36"/>
      <c r="F52" s="64" t="s">
        <v>49</v>
      </c>
      <c r="G52" s="113"/>
      <c r="H52" s="47" t="s">
        <v>38</v>
      </c>
      <c r="I52" s="33"/>
      <c r="J52" s="39"/>
      <c r="K52" s="47"/>
      <c r="L52" s="53"/>
      <c r="M52" s="54"/>
    </row>
    <row r="53" spans="2:13" ht="21" customHeight="1">
      <c r="B53" s="62"/>
      <c r="C53" s="8"/>
      <c r="D53" s="65"/>
      <c r="E53" s="37"/>
      <c r="F53" s="65"/>
      <c r="G53" s="114"/>
      <c r="H53" s="48"/>
      <c r="I53" s="34"/>
      <c r="J53" s="40"/>
      <c r="K53" s="48"/>
      <c r="L53" s="55"/>
      <c r="M53" s="54"/>
    </row>
    <row r="54" spans="2:13" ht="21" customHeight="1">
      <c r="B54" s="62"/>
      <c r="C54" s="8" t="s">
        <v>58</v>
      </c>
      <c r="D54" s="65"/>
      <c r="E54" s="37"/>
      <c r="F54" s="65"/>
      <c r="G54" s="114"/>
      <c r="H54" s="48"/>
      <c r="I54" s="34"/>
      <c r="J54" s="40"/>
      <c r="K54" s="48"/>
      <c r="L54" s="55"/>
      <c r="M54" s="54"/>
    </row>
    <row r="55" spans="2:13" ht="21" customHeight="1">
      <c r="B55" s="63"/>
      <c r="C55" s="7"/>
      <c r="D55" s="65"/>
      <c r="E55" s="38"/>
      <c r="F55" s="65"/>
      <c r="G55" s="115"/>
      <c r="H55" s="49"/>
      <c r="I55" s="35"/>
      <c r="J55" s="41"/>
      <c r="K55" s="49"/>
      <c r="L55" s="55"/>
      <c r="M55" s="54"/>
    </row>
    <row r="56" spans="2:13" ht="21" customHeight="1">
      <c r="B56" s="61" t="s">
        <v>10</v>
      </c>
      <c r="C56" s="6"/>
      <c r="D56" s="48" t="s">
        <v>41</v>
      </c>
      <c r="E56" s="164" t="s">
        <v>46</v>
      </c>
      <c r="F56" s="72" t="s">
        <v>50</v>
      </c>
      <c r="G56" s="113" t="s">
        <v>23</v>
      </c>
      <c r="H56" s="47" t="s">
        <v>39</v>
      </c>
      <c r="I56" s="116"/>
      <c r="J56" s="122"/>
      <c r="K56" s="149"/>
      <c r="L56" s="150"/>
      <c r="M56" s="151"/>
    </row>
    <row r="57" spans="2:13" ht="21" customHeight="1">
      <c r="B57" s="62"/>
      <c r="C57" s="8"/>
      <c r="D57" s="162"/>
      <c r="E57" s="165"/>
      <c r="F57" s="72"/>
      <c r="G57" s="31"/>
      <c r="H57" s="48"/>
      <c r="I57" s="34"/>
      <c r="J57" s="123"/>
      <c r="K57" s="149"/>
      <c r="L57" s="152"/>
      <c r="M57" s="153"/>
    </row>
    <row r="58" spans="2:13" ht="21" customHeight="1">
      <c r="B58" s="62"/>
      <c r="C58" s="8"/>
      <c r="D58" s="162"/>
      <c r="E58" s="165"/>
      <c r="F58" s="72"/>
      <c r="G58" s="31"/>
      <c r="H58" s="48"/>
      <c r="I58" s="34"/>
      <c r="J58" s="123"/>
      <c r="K58" s="149"/>
      <c r="L58" s="152"/>
      <c r="M58" s="153"/>
    </row>
    <row r="59" spans="2:13" ht="21" customHeight="1">
      <c r="B59" s="63"/>
      <c r="C59" s="8"/>
      <c r="D59" s="163"/>
      <c r="E59" s="166"/>
      <c r="F59" s="72"/>
      <c r="G59" s="32"/>
      <c r="H59" s="49"/>
      <c r="I59" s="35"/>
      <c r="J59" s="123"/>
      <c r="K59" s="149"/>
      <c r="L59" s="152"/>
      <c r="M59" s="153"/>
    </row>
    <row r="60" spans="2:13" ht="21" customHeight="1">
      <c r="B60" s="135" t="s">
        <v>11</v>
      </c>
      <c r="C60" s="157"/>
      <c r="D60" s="80" t="s">
        <v>54</v>
      </c>
      <c r="E60" s="138" t="s">
        <v>24</v>
      </c>
      <c r="F60" s="80" t="s">
        <v>22</v>
      </c>
      <c r="G60" s="138" t="s">
        <v>47</v>
      </c>
      <c r="H60" s="160" t="s">
        <v>27</v>
      </c>
      <c r="I60" s="145"/>
      <c r="J60" s="122"/>
      <c r="K60" s="149"/>
      <c r="L60" s="152"/>
      <c r="M60" s="153"/>
    </row>
    <row r="61" spans="2:13" ht="21" customHeight="1">
      <c r="B61" s="135"/>
      <c r="C61" s="158"/>
      <c r="D61" s="80"/>
      <c r="E61" s="139"/>
      <c r="F61" s="80"/>
      <c r="G61" s="139"/>
      <c r="H61" s="161"/>
      <c r="I61" s="146"/>
      <c r="J61" s="123"/>
      <c r="K61" s="149"/>
      <c r="L61" s="152"/>
      <c r="M61" s="153"/>
    </row>
    <row r="62" spans="2:13" ht="21" customHeight="1">
      <c r="B62" s="135"/>
      <c r="C62" s="158"/>
      <c r="D62" s="80"/>
      <c r="E62" s="139"/>
      <c r="F62" s="80"/>
      <c r="G62" s="139"/>
      <c r="H62" s="161"/>
      <c r="I62" s="146"/>
      <c r="J62" s="123"/>
      <c r="K62" s="149"/>
      <c r="L62" s="152"/>
      <c r="M62" s="153"/>
    </row>
    <row r="63" spans="2:13" ht="21" customHeight="1">
      <c r="B63" s="135"/>
      <c r="C63" s="158"/>
      <c r="D63" s="80"/>
      <c r="E63" s="139"/>
      <c r="F63" s="80"/>
      <c r="G63" s="139"/>
      <c r="H63" s="161"/>
      <c r="I63" s="146"/>
      <c r="J63" s="123"/>
      <c r="K63" s="149"/>
      <c r="L63" s="152"/>
      <c r="M63" s="153"/>
    </row>
    <row r="64" spans="2:13" ht="21" customHeight="1">
      <c r="B64" s="135" t="s">
        <v>36</v>
      </c>
      <c r="C64" s="157"/>
      <c r="D64" s="80"/>
      <c r="E64" s="138"/>
      <c r="F64" s="80"/>
      <c r="G64" s="13" t="s">
        <v>37</v>
      </c>
      <c r="H64" s="142"/>
      <c r="I64" s="145"/>
      <c r="J64" s="122"/>
      <c r="K64" s="149"/>
      <c r="L64" s="152"/>
      <c r="M64" s="153"/>
    </row>
    <row r="65" spans="2:13" ht="21" customHeight="1">
      <c r="B65" s="135"/>
      <c r="C65" s="158"/>
      <c r="D65" s="80"/>
      <c r="E65" s="139"/>
      <c r="F65" s="80"/>
      <c r="G65" s="14"/>
      <c r="H65" s="143"/>
      <c r="I65" s="146"/>
      <c r="J65" s="123"/>
      <c r="K65" s="149"/>
      <c r="L65" s="152"/>
      <c r="M65" s="153"/>
    </row>
    <row r="66" spans="2:13" ht="21" customHeight="1">
      <c r="B66" s="135"/>
      <c r="C66" s="158"/>
      <c r="D66" s="80"/>
      <c r="E66" s="139"/>
      <c r="F66" s="80"/>
      <c r="G66" s="14"/>
      <c r="H66" s="143"/>
      <c r="I66" s="146"/>
      <c r="J66" s="123"/>
      <c r="K66" s="149"/>
      <c r="L66" s="152"/>
      <c r="M66" s="153"/>
    </row>
    <row r="67" spans="2:13" ht="21" customHeight="1" thickBot="1">
      <c r="B67" s="136"/>
      <c r="C67" s="159"/>
      <c r="D67" s="137"/>
      <c r="E67" s="140"/>
      <c r="F67" s="137"/>
      <c r="G67" s="141"/>
      <c r="H67" s="144"/>
      <c r="I67" s="147"/>
      <c r="J67" s="148"/>
      <c r="K67" s="154"/>
      <c r="L67" s="155"/>
      <c r="M67" s="156"/>
    </row>
    <row r="68" spans="2:13">
      <c r="D68" s="2"/>
    </row>
  </sheetData>
  <mergeCells count="104">
    <mergeCell ref="B64:B67"/>
    <mergeCell ref="D64:D67"/>
    <mergeCell ref="E64:E67"/>
    <mergeCell ref="F64:F67"/>
    <mergeCell ref="G64:G67"/>
    <mergeCell ref="H64:H67"/>
    <mergeCell ref="I64:I67"/>
    <mergeCell ref="J64:J67"/>
    <mergeCell ref="K56:M67"/>
    <mergeCell ref="C60:C63"/>
    <mergeCell ref="C64:C67"/>
    <mergeCell ref="I60:I63"/>
    <mergeCell ref="J60:J63"/>
    <mergeCell ref="B60:B63"/>
    <mergeCell ref="H60:H63"/>
    <mergeCell ref="B56:B59"/>
    <mergeCell ref="G56:G59"/>
    <mergeCell ref="D60:D63"/>
    <mergeCell ref="F60:F63"/>
    <mergeCell ref="D56:D59"/>
    <mergeCell ref="F56:F59"/>
    <mergeCell ref="G60:G63"/>
    <mergeCell ref="E60:E63"/>
    <mergeCell ref="E56:E59"/>
    <mergeCell ref="K17:M17"/>
    <mergeCell ref="L28:M31"/>
    <mergeCell ref="L32:M35"/>
    <mergeCell ref="L18:M19"/>
    <mergeCell ref="D17:E17"/>
    <mergeCell ref="F17:G17"/>
    <mergeCell ref="H17:I17"/>
    <mergeCell ref="H56:H59"/>
    <mergeCell ref="D48:D51"/>
    <mergeCell ref="G52:G55"/>
    <mergeCell ref="F48:F51"/>
    <mergeCell ref="F44:F47"/>
    <mergeCell ref="I56:I59"/>
    <mergeCell ref="I18:I19"/>
    <mergeCell ref="F52:F55"/>
    <mergeCell ref="D44:D47"/>
    <mergeCell ref="H18:H19"/>
    <mergeCell ref="K18:K19"/>
    <mergeCell ref="K36:K39"/>
    <mergeCell ref="J56:J59"/>
    <mergeCell ref="J28:J31"/>
    <mergeCell ref="L20:M27"/>
    <mergeCell ref="K48:K51"/>
    <mergeCell ref="L44:M47"/>
    <mergeCell ref="B20:B23"/>
    <mergeCell ref="B24:B27"/>
    <mergeCell ref="K20:K23"/>
    <mergeCell ref="C18:C19"/>
    <mergeCell ref="D18:D19"/>
    <mergeCell ref="E18:E19"/>
    <mergeCell ref="F18:F19"/>
    <mergeCell ref="G18:G19"/>
    <mergeCell ref="J18:J19"/>
    <mergeCell ref="K24:K27"/>
    <mergeCell ref="C20:J27"/>
    <mergeCell ref="B28:B31"/>
    <mergeCell ref="B32:B35"/>
    <mergeCell ref="D28:D31"/>
    <mergeCell ref="D32:D35"/>
    <mergeCell ref="E28:E31"/>
    <mergeCell ref="E32:E35"/>
    <mergeCell ref="L48:M51"/>
    <mergeCell ref="L52:M55"/>
    <mergeCell ref="L36:M39"/>
    <mergeCell ref="L40:M43"/>
    <mergeCell ref="B52:B55"/>
    <mergeCell ref="H52:H55"/>
    <mergeCell ref="D52:D55"/>
    <mergeCell ref="H48:H51"/>
    <mergeCell ref="H44:H47"/>
    <mergeCell ref="B48:B51"/>
    <mergeCell ref="B44:B47"/>
    <mergeCell ref="C40:C51"/>
    <mergeCell ref="B36:B39"/>
    <mergeCell ref="B40:B43"/>
    <mergeCell ref="K40:K43"/>
    <mergeCell ref="I36:I39"/>
    <mergeCell ref="H40:H43"/>
    <mergeCell ref="J36:J39"/>
    <mergeCell ref="F36:F39"/>
    <mergeCell ref="F40:F43"/>
    <mergeCell ref="D36:D39"/>
    <mergeCell ref="D40:D43"/>
    <mergeCell ref="G36:G39"/>
    <mergeCell ref="K32:K35"/>
    <mergeCell ref="K28:K31"/>
    <mergeCell ref="J32:J35"/>
    <mergeCell ref="E36:E39"/>
    <mergeCell ref="H36:H39"/>
    <mergeCell ref="E40:E51"/>
    <mergeCell ref="G40:G47"/>
    <mergeCell ref="G48:G51"/>
    <mergeCell ref="I52:I55"/>
    <mergeCell ref="E52:E55"/>
    <mergeCell ref="J52:J55"/>
    <mergeCell ref="K44:K47"/>
    <mergeCell ref="F32:I35"/>
    <mergeCell ref="I40:I51"/>
    <mergeCell ref="J40:J51"/>
    <mergeCell ref="K52:K55"/>
  </mergeCells>
  <phoneticPr fontId="1"/>
  <printOptions horizontalCentered="1" verticalCentered="1"/>
  <pageMargins left="0.25" right="0.25" top="0" bottom="0" header="0" footer="0"/>
  <pageSetup paperSize="9" scale="3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36673-EF4D-46E6-AE3F-F86C2E42E0C9}">
  <dimension ref="A1"/>
  <sheetViews>
    <sheetView workbookViewId="0">
      <selection activeCell="D17" sqref="D17"/>
    </sheetView>
  </sheetViews>
  <sheetFormatPr baseColWidth="10" defaultColWidth="8.83203125" defaultRowHeight="14"/>
  <sheetData/>
  <phoneticPr fontId="1"/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12月時間割</vt:lpstr>
      <vt:lpstr>Sheet1</vt:lpstr>
      <vt:lpstr>'12月時間割'!Print_Area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lastPrinted>2020-10-29T05:34:03Z</cp:lastPrinted>
  <dcterms:created xsi:type="dcterms:W3CDTF">2006-09-16T00:00:00Z</dcterms:created>
  <dcterms:modified xsi:type="dcterms:W3CDTF">2020-11-16T08:13:36Z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1olEQOLk8aCQ6H03OMp6c7IwEM7p09n7bz8sdKjeIrk4</vt:lpwstr>
  </property>
  <property fmtid="{D5CDD505-2E9C-101B-9397-08002B2CF9AE}" pid="4" name="Google.Documents.RevisionId">
    <vt:lpwstr>08651990430140194273</vt:lpwstr>
  </property>
  <property fmtid="{D5CDD505-2E9C-101B-9397-08002B2CF9AE}" pid="5" name="Google.Documents.PreviousRevisionId">
    <vt:lpwstr>12537018169923091093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